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25" activeTab="0"/>
  </bookViews>
  <sheets>
    <sheet name="Data input and results" sheetId="1" r:id="rId1"/>
    <sheet name="information" sheetId="2" r:id="rId2"/>
    <sheet name="selection" sheetId="3" state="veryHidden" r:id="rId3"/>
    <sheet name="ulpanel" sheetId="4" state="veryHidden" r:id="rId4"/>
    <sheet name="ulpress" sheetId="5" state="veryHidden" r:id="rId5"/>
  </sheets>
  <definedNames>
    <definedName name="acc">'Data input and results'!$C$15</definedName>
    <definedName name="class1">'selection'!$E$24</definedName>
    <definedName name="class2">'selection'!$H$24</definedName>
    <definedName name="con">'Data input and results'!$C$15</definedName>
    <definedName name="conn">'Data input and results'!$C$19</definedName>
    <definedName name="cvel1">'selection'!$E$28</definedName>
    <definedName name="cvel2">'selection'!$H$28</definedName>
    <definedName name="dense">'Data input and results'!$H$21</definedName>
    <definedName name="dir">'Data input and results'!$C$17</definedName>
    <definedName name="drop1">'selection'!$E$26</definedName>
    <definedName name="drop2">'selection'!$H$26</definedName>
    <definedName name="flow">'Data input and results'!$C$21</definedName>
    <definedName name="free1">'selection'!$E$34</definedName>
    <definedName name="free2">'selection'!$H$34</definedName>
    <definedName name="high">'Data input and results'!$C$29</definedName>
    <definedName name="high1">'selection'!$E$30</definedName>
    <definedName name="high2">'selection'!$H$30</definedName>
    <definedName name="httable">'ulpanel'!$J$4:$Q$27</definedName>
    <definedName name="loc">'Data input and results'!$C$13</definedName>
    <definedName name="mat">'Data input and results'!$H$9</definedName>
    <definedName name="mfree1">'selection'!$E$36</definedName>
    <definedName name="mfree2">'selection'!$H$36</definedName>
    <definedName name="mull">'Data input and results'!$H$13</definedName>
    <definedName name="other">'Data input and results'!$C$23</definedName>
    <definedName name="othercv">'Data input and results'!$C$25</definedName>
    <definedName name="pdrop">'Data input and results'!$C$27</definedName>
    <definedName name="space1">'Data input and results'!$H$15</definedName>
    <definedName name="space2">'Data input and results'!$H$16</definedName>
    <definedName name="space3">'Data input and results'!$H$17</definedName>
    <definedName name="steel">'Data input and results'!#REF!</definedName>
    <definedName name="thick">'Data input and results'!$H$19</definedName>
    <definedName name="type">'Data input and results'!$C$9</definedName>
    <definedName name="type1">'selection'!$E$22</definedName>
    <definedName name="type2">'selection'!$H$22</definedName>
    <definedName name="wide">'Data input and results'!$C$31</definedName>
    <definedName name="wide1">'selection'!$E$32</definedName>
    <definedName name="wide2">'selection'!$H$32</definedName>
    <definedName name="wind">'Data input and results'!#REF!</definedName>
    <definedName name="witable">'ulpanel'!$J$30:$N$53</definedName>
    <definedName name="wres">'Data input and results'!$C$11</definedName>
  </definedNames>
  <calcPr fullCalcOnLoad="1"/>
</workbook>
</file>

<file path=xl/sharedStrings.xml><?xml version="1.0" encoding="utf-8"?>
<sst xmlns="http://schemas.openxmlformats.org/spreadsheetml/2006/main" count="333" uniqueCount="164">
  <si>
    <t>PROJECT:</t>
  </si>
  <si>
    <t>DATE:</t>
  </si>
  <si>
    <t>BY:</t>
  </si>
  <si>
    <t>INPUT DATA:</t>
  </si>
  <si>
    <t>Weather resistance</t>
  </si>
  <si>
    <t>Louvre type</t>
  </si>
  <si>
    <t>Air flow rate</t>
  </si>
  <si>
    <t>Direction of air flow</t>
  </si>
  <si>
    <t>Maximum air pressure drop</t>
  </si>
  <si>
    <t>Maximum louvre height</t>
  </si>
  <si>
    <t>Maximum louvre width</t>
  </si>
  <si>
    <t>RESULTS</t>
  </si>
  <si>
    <t>Selected louvre type</t>
  </si>
  <si>
    <t>HEVAC classification</t>
  </si>
  <si>
    <t>Pressure drop</t>
  </si>
  <si>
    <t>Option 1</t>
  </si>
  <si>
    <t>Option 2</t>
  </si>
  <si>
    <t>Pa</t>
  </si>
  <si>
    <t>m3/s</t>
  </si>
  <si>
    <t>m</t>
  </si>
  <si>
    <t>(Best weather protection)</t>
  </si>
  <si>
    <t>(Best air flow performance)</t>
  </si>
  <si>
    <t>Measured free area</t>
  </si>
  <si>
    <t>Accessories</t>
  </si>
  <si>
    <t>Fill in 2 out of 3</t>
  </si>
  <si>
    <t>Leave 3rd blank</t>
  </si>
  <si>
    <t>Connections</t>
  </si>
  <si>
    <t>Calculations:</t>
  </si>
  <si>
    <t>if height entered....</t>
  </si>
  <si>
    <t>zeta</t>
  </si>
  <si>
    <t>nummull</t>
  </si>
  <si>
    <t>Colt Universal Louvre Systems</t>
  </si>
  <si>
    <t>Calculation of Panel Size if Flowrate and Maximum Pressure Drop are known</t>
  </si>
  <si>
    <t>(Louvre panels fitted with birdguard)</t>
  </si>
  <si>
    <t>Input Data:</t>
  </si>
  <si>
    <t>Volume flow rate:</t>
  </si>
  <si>
    <t>Maximum Pressure Drop:</t>
  </si>
  <si>
    <t>Mullion spacing:</t>
  </si>
  <si>
    <t>Site ambient air density:</t>
  </si>
  <si>
    <t>kg/m3</t>
  </si>
  <si>
    <t>Limiting Dimension:</t>
  </si>
  <si>
    <t>h or w</t>
  </si>
  <si>
    <t>(h = height, w = width)</t>
  </si>
  <si>
    <t>value</t>
  </si>
  <si>
    <t>Thickness of horizontal steelwork:</t>
  </si>
  <si>
    <t>Width (m)</t>
  </si>
  <si>
    <t>Height (m)</t>
  </si>
  <si>
    <t>1UL/SH:</t>
  </si>
  <si>
    <t>1UL/DH:</t>
  </si>
  <si>
    <t>if width entered....</t>
  </si>
  <si>
    <t>oaht</t>
  </si>
  <si>
    <t>2UL/SH:</t>
  </si>
  <si>
    <t>2UL/DH:</t>
  </si>
  <si>
    <t>3UL/SH:</t>
  </si>
  <si>
    <t>3UL/DH:</t>
  </si>
  <si>
    <t>Notes:</t>
  </si>
  <si>
    <t>a)   Pressure drops are based upon the following values of Cv:</t>
  </si>
  <si>
    <t>Inlet</t>
  </si>
  <si>
    <t>Extract</t>
  </si>
  <si>
    <t>oawid</t>
  </si>
  <si>
    <t>Calculation of Pressure Drop if Flowrate and Panel Size are known</t>
  </si>
  <si>
    <t>Total panel width:</t>
  </si>
  <si>
    <t>Total panel height:</t>
  </si>
  <si>
    <t>Thickness of  intermediate steelwork:</t>
  </si>
  <si>
    <t xml:space="preserve">  </t>
  </si>
  <si>
    <t>1UL</t>
  </si>
  <si>
    <t>2UL</t>
  </si>
  <si>
    <t>3UL</t>
  </si>
  <si>
    <t>Pressure Drop:</t>
  </si>
  <si>
    <t>Spacing of horizontal steelwork:</t>
  </si>
  <si>
    <t>Spacing of intermediate steelwork:</t>
  </si>
  <si>
    <t>Table of choices</t>
  </si>
  <si>
    <t>location</t>
  </si>
  <si>
    <t>choice 1</t>
  </si>
  <si>
    <t>choice 2</t>
  </si>
  <si>
    <t>critical</t>
  </si>
  <si>
    <t>important</t>
  </si>
  <si>
    <t>unimportant</t>
  </si>
  <si>
    <t>severe</t>
  </si>
  <si>
    <t>normal</t>
  </si>
  <si>
    <t>sheltered</t>
  </si>
  <si>
    <t>N/A</t>
  </si>
  <si>
    <t>Choice from table:</t>
  </si>
  <si>
    <t>Louvre type:</t>
  </si>
  <si>
    <t>inlet</t>
  </si>
  <si>
    <t>exhaust</t>
  </si>
  <si>
    <t xml:space="preserve"> inlet</t>
  </si>
  <si>
    <t>Panel width</t>
  </si>
  <si>
    <t>Panel height</t>
  </si>
  <si>
    <t>Value for selection</t>
  </si>
  <si>
    <t>1UL/S</t>
  </si>
  <si>
    <t>1UL/D</t>
  </si>
  <si>
    <t>2UL/S</t>
  </si>
  <si>
    <t>3UL/S</t>
  </si>
  <si>
    <t>3UL/D</t>
  </si>
  <si>
    <t>2UL/D</t>
  </si>
  <si>
    <t>Percentage free area</t>
  </si>
  <si>
    <t>m2</t>
  </si>
  <si>
    <t>core velocity</t>
  </si>
  <si>
    <t>cvel</t>
  </si>
  <si>
    <t>carea</t>
  </si>
  <si>
    <t>cwidth</t>
  </si>
  <si>
    <t>cheight</t>
  </si>
  <si>
    <t>Core Velocity</t>
  </si>
  <si>
    <t>m/s</t>
  </si>
  <si>
    <t>Core velocity</t>
  </si>
  <si>
    <t>Panel weight</t>
  </si>
  <si>
    <t>kg</t>
  </si>
  <si>
    <t>Weight</t>
  </si>
  <si>
    <t>weight</t>
  </si>
  <si>
    <t>Steelwork thickness</t>
  </si>
  <si>
    <t>This program was written by Paul Compton.</t>
  </si>
  <si>
    <t>The classifications for 'location' are taken from CIBSE Guide A, 3.3.9.4</t>
  </si>
  <si>
    <t>sheltered is up to 3rd floor in city centres</t>
  </si>
  <si>
    <t>normal is 4th to 8th floors in city centres and most rural and suburban buildings</t>
  </si>
  <si>
    <t>severe is 9th floor and above in city centres, floors above 5th in rural and suburban areas and coastal and hill sites.</t>
  </si>
  <si>
    <t>The default values used are typical values for' normal' locations.</t>
  </si>
  <si>
    <t>A = 99% rainfall rejection or better</t>
  </si>
  <si>
    <t>B = 95% to 98.99% rainfall rejection</t>
  </si>
  <si>
    <t>C = 80% to 94.99% rainfall rejection</t>
  </si>
  <si>
    <t>D = less than 80% rainfall rejection</t>
  </si>
  <si>
    <t>Core velocity is the nominal velocity through the louvre panel ignoring the blockage effect of the louvres themselves.</t>
  </si>
  <si>
    <t xml:space="preserve">Steelwork spacing should be as calculated from the design charts in GPTS 1200 or Colt leaflets. </t>
  </si>
  <si>
    <t xml:space="preserve">Louvre codes take the form 1UL/S where the first number is the number of louvre banks (1, 2 or 3) </t>
  </si>
  <si>
    <t>and the final letter denotes whether the lovre is shallow section 50mm pitch (S) or deep section 100mm pitch (D).</t>
  </si>
  <si>
    <t>Classifications are taken from BS EN 13030 (formerly the HEVAC test method).</t>
  </si>
  <si>
    <t>1 = Airflow coefficient (Cv) of 0.4 or better</t>
  </si>
  <si>
    <t>2 = Airflow coefficient (Cv) of 0.3 to 0.399</t>
  </si>
  <si>
    <t>3 = Airflow coeficient (Cv) of 0.2 to 0.299</t>
  </si>
  <si>
    <t>4 = Airflow coefficient (Cv) of less than 0.2</t>
  </si>
  <si>
    <t>Mullion spacing</t>
  </si>
  <si>
    <t>The louvre performance data is taken from BSRIA report number 55130/1 dated December 1988.</t>
  </si>
  <si>
    <t>Amendment record</t>
  </si>
  <si>
    <t>Issued as draft for comment version 1.0dev</t>
  </si>
  <si>
    <t>Material</t>
  </si>
  <si>
    <t>al</t>
  </si>
  <si>
    <t>ss</t>
  </si>
  <si>
    <t>gs</t>
  </si>
  <si>
    <t>The louvre weights are calculated using the formulae in Colt GPTS 1200.</t>
  </si>
  <si>
    <t>They exclude any support steelwork.</t>
  </si>
  <si>
    <t>The program combines the existing Colt programs 'ulpress' and 'ulpanel' with a new front end.</t>
  </si>
  <si>
    <t xml:space="preserve">Steelwork </t>
  </si>
  <si>
    <t>spacing</t>
  </si>
  <si>
    <t>Ambient air density</t>
  </si>
  <si>
    <t>Issued as second draft incorporating comments version 1.a dev</t>
  </si>
  <si>
    <t>With i.m.</t>
  </si>
  <si>
    <t>No b.g.</t>
  </si>
  <si>
    <t>Percent change in Cv is taken as:</t>
  </si>
  <si>
    <t xml:space="preserve">Louvre air flow performance was measured with birdguard fitted. </t>
  </si>
  <si>
    <t>accfac</t>
  </si>
  <si>
    <t>The results will not be the same as the old programs since the opportunity was taken to update some data.</t>
  </si>
  <si>
    <t>UNIVERSAL LOUVRE SELECTION</t>
  </si>
  <si>
    <t>The easiest way to copy into Word for a report is to highlight and copy, then go to the Word document and click on</t>
  </si>
  <si>
    <t xml:space="preserve">edit, paste special, picture. The text is not editable but is correctly laid out and can be moved and resized. </t>
  </si>
  <si>
    <t>Correction made to height in ulpress and issued as version 1.0a</t>
  </si>
  <si>
    <t>Correction made to selection of louvre type to make more robust and issued as version 1.1</t>
  </si>
  <si>
    <t>v1.2 May 2009</t>
  </si>
  <si>
    <t>Other equipment in series</t>
  </si>
  <si>
    <t>Addition of option to add other equipment in series and issued as version 1.2</t>
  </si>
  <si>
    <t>Where other equipment in series is selected the program assumes a useful throat area equivalent to the louvre core area.</t>
  </si>
  <si>
    <t>This is intended to provide a conservative selection.</t>
  </si>
  <si>
    <r>
      <t>kg/m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</si>
  <si>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</t>
    </r>
  </si>
  <si>
    <t>Copyright Colt International Limited 2003-2009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</si>
</sst>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"/>
    <numFmt numFmtId="168" formatCode="0.000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36"/>
      <name val="Coltfont1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/>
      <right style="double"/>
      <top style="double"/>
      <bottom style="double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 horizontal="right"/>
    </xf>
    <xf numFmtId="0" fontId="0" fillId="0" borderId="0" xfId="0" applyAlignment="1" applyProtection="1" quotePrefix="1">
      <alignment/>
      <protection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" fontId="0" fillId="0" borderId="0" xfId="0" applyNumberFormat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5" fillId="0" borderId="1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164" fontId="14" fillId="0" borderId="0" xfId="0" applyNumberFormat="1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hidden="1"/>
    </xf>
    <xf numFmtId="2" fontId="0" fillId="33" borderId="20" xfId="0" applyNumberFormat="1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5" fontId="0" fillId="33" borderId="2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164" fontId="0" fillId="0" borderId="21" xfId="0" applyNumberFormat="1" applyBorder="1" applyAlignment="1" applyProtection="1">
      <alignment horizontal="right"/>
      <protection hidden="1"/>
    </xf>
    <xf numFmtId="164" fontId="0" fillId="0" borderId="22" xfId="0" applyNumberFormat="1" applyBorder="1" applyAlignment="1" applyProtection="1">
      <alignment horizontal="right"/>
      <protection hidden="1"/>
    </xf>
    <xf numFmtId="164" fontId="0" fillId="0" borderId="23" xfId="0" applyNumberFormat="1" applyBorder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right"/>
      <protection hidden="1"/>
    </xf>
    <xf numFmtId="164" fontId="14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 quotePrefix="1">
      <alignment/>
      <protection hidden="1"/>
    </xf>
    <xf numFmtId="164" fontId="0" fillId="33" borderId="20" xfId="0" applyNumberFormat="1" applyFill="1" applyBorder="1" applyAlignment="1" applyProtection="1">
      <alignment/>
      <protection hidden="1"/>
    </xf>
    <xf numFmtId="164" fontId="0" fillId="33" borderId="24" xfId="0" applyNumberFormat="1" applyFill="1" applyBorder="1" applyAlignment="1" applyProtection="1">
      <alignment/>
      <protection hidden="1"/>
    </xf>
    <xf numFmtId="0" fontId="0" fillId="34" borderId="20" xfId="0" applyFont="1" applyFill="1" applyBorder="1" applyAlignment="1" applyProtection="1">
      <alignment/>
      <protection hidden="1"/>
    </xf>
    <xf numFmtId="165" fontId="0" fillId="34" borderId="20" xfId="0" applyNumberFormat="1" applyFont="1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21" xfId="0" applyNumberFormat="1" applyBorder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165" fontId="0" fillId="0" borderId="22" xfId="0" applyNumberFormat="1" applyBorder="1" applyAlignment="1" applyProtection="1">
      <alignment/>
      <protection hidden="1"/>
    </xf>
    <xf numFmtId="165" fontId="0" fillId="0" borderId="23" xfId="0" applyNumberForma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0</xdr:row>
      <xdr:rowOff>409575</xdr:rowOff>
    </xdr:to>
    <xdr:pic>
      <xdr:nvPicPr>
        <xdr:cNvPr id="1" name="Picture 1" descr="Colt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Normal="75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18.28125" style="0" customWidth="1"/>
    <col min="3" max="3" width="14.140625" style="0" customWidth="1"/>
    <col min="6" max="6" width="6.421875" style="0" customWidth="1"/>
  </cols>
  <sheetData>
    <row r="1" spans="1:7" ht="46.5">
      <c r="A1" s="30"/>
      <c r="C1" s="44" t="s">
        <v>151</v>
      </c>
      <c r="G1" s="25"/>
    </row>
    <row r="2" ht="13.5" thickBot="1"/>
    <row r="3" spans="1:8" ht="13.5" thickBot="1">
      <c r="A3" s="2" t="s">
        <v>0</v>
      </c>
      <c r="C3" s="10"/>
      <c r="D3" s="40"/>
      <c r="E3" s="40"/>
      <c r="F3" s="40"/>
      <c r="G3" s="40"/>
      <c r="H3" s="7"/>
    </row>
    <row r="4" ht="13.5" thickBot="1"/>
    <row r="5" spans="1:8" ht="13.5" thickBot="1">
      <c r="A5" s="2" t="s">
        <v>1</v>
      </c>
      <c r="C5" s="11"/>
      <c r="F5" s="2" t="s">
        <v>2</v>
      </c>
      <c r="G5" s="10"/>
      <c r="H5" s="7"/>
    </row>
    <row r="6" spans="1:8" ht="15.75">
      <c r="A6" s="3"/>
      <c r="C6" s="9"/>
      <c r="F6" s="3"/>
      <c r="G6" s="9"/>
      <c r="H6" s="9"/>
    </row>
    <row r="7" ht="18">
      <c r="A7" s="1" t="s">
        <v>3</v>
      </c>
    </row>
    <row r="8" ht="18.75" thickBot="1">
      <c r="A8" s="1"/>
    </row>
    <row r="9" spans="1:8" ht="13.5" thickBot="1">
      <c r="A9" s="2" t="s">
        <v>5</v>
      </c>
      <c r="C9" s="11"/>
      <c r="E9" s="2" t="s">
        <v>134</v>
      </c>
      <c r="H9" s="11"/>
    </row>
    <row r="10" spans="3:8" ht="13.5" thickBot="1">
      <c r="C10" s="49"/>
      <c r="H10" s="49"/>
    </row>
    <row r="11" spans="1:8" ht="13.5" thickBot="1">
      <c r="A11" s="2">
        <f>IF(OR(type="UL/D",type="UL/S"),"Weather resistance","")</f>
      </c>
      <c r="C11" s="11"/>
      <c r="H11" s="49"/>
    </row>
    <row r="12" spans="3:8" ht="13.5" thickBot="1">
      <c r="C12" s="49"/>
      <c r="H12" s="49"/>
    </row>
    <row r="13" spans="1:9" ht="13.5" thickBot="1">
      <c r="A13" s="2">
        <f>IF(OR(type="UL/D",type="UL/S"),"Location","")</f>
      </c>
      <c r="C13" s="11"/>
      <c r="E13" s="38" t="s">
        <v>130</v>
      </c>
      <c r="H13" s="11"/>
      <c r="I13" t="s">
        <v>19</v>
      </c>
    </row>
    <row r="14" spans="1:8" ht="13.5" thickBot="1">
      <c r="A14" s="2"/>
      <c r="C14" s="13"/>
      <c r="H14" s="49"/>
    </row>
    <row r="15" spans="1:9" ht="13.5" thickBot="1">
      <c r="A15" s="2" t="s">
        <v>23</v>
      </c>
      <c r="C15" s="11"/>
      <c r="E15" s="38" t="s">
        <v>141</v>
      </c>
      <c r="G15" s="36" t="s">
        <v>65</v>
      </c>
      <c r="H15" s="11"/>
      <c r="I15" t="s">
        <v>19</v>
      </c>
    </row>
    <row r="16" spans="1:9" ht="13.5" thickBot="1">
      <c r="A16" s="2"/>
      <c r="C16" s="13"/>
      <c r="E16" s="2" t="s">
        <v>142</v>
      </c>
      <c r="G16" s="36" t="s">
        <v>66</v>
      </c>
      <c r="H16" s="11"/>
      <c r="I16" t="s">
        <v>19</v>
      </c>
    </row>
    <row r="17" spans="1:9" ht="13.5" thickBot="1">
      <c r="A17" s="2" t="s">
        <v>7</v>
      </c>
      <c r="C17" s="11"/>
      <c r="G17" s="36" t="s">
        <v>67</v>
      </c>
      <c r="H17" s="11"/>
      <c r="I17" t="s">
        <v>19</v>
      </c>
    </row>
    <row r="18" spans="3:8" ht="13.5" thickBot="1">
      <c r="C18" s="49"/>
      <c r="H18" s="49"/>
    </row>
    <row r="19" spans="1:9" ht="13.5" thickBot="1">
      <c r="A19" s="2" t="s">
        <v>26</v>
      </c>
      <c r="C19" s="11"/>
      <c r="E19" s="38" t="s">
        <v>110</v>
      </c>
      <c r="H19" s="11"/>
      <c r="I19" t="s">
        <v>19</v>
      </c>
    </row>
    <row r="20" spans="1:8" ht="13.5" thickBot="1">
      <c r="A20" s="2"/>
      <c r="C20" s="13"/>
      <c r="H20" s="49"/>
    </row>
    <row r="21" spans="1:9" ht="15" thickBot="1">
      <c r="A21" s="2" t="s">
        <v>6</v>
      </c>
      <c r="C21" s="28"/>
      <c r="D21" t="s">
        <v>162</v>
      </c>
      <c r="E21" s="2" t="s">
        <v>143</v>
      </c>
      <c r="H21" s="11"/>
      <c r="I21" t="s">
        <v>161</v>
      </c>
    </row>
    <row r="22" spans="1:8" ht="13.5" thickBot="1">
      <c r="A22" s="2"/>
      <c r="C22" s="42"/>
      <c r="E22" s="2"/>
      <c r="H22" s="13"/>
    </row>
    <row r="23" spans="1:9" ht="13.5" thickBot="1">
      <c r="A23" s="2" t="s">
        <v>157</v>
      </c>
      <c r="C23" s="28"/>
      <c r="E23" s="2">
        <f>IF(C23="Yes","Description","")</f>
      </c>
      <c r="G23" s="10"/>
      <c r="H23" s="40"/>
      <c r="I23" s="48"/>
    </row>
    <row r="24" spans="1:8" ht="13.5" thickBot="1">
      <c r="A24" s="2"/>
      <c r="C24" s="42"/>
      <c r="E24" s="2"/>
      <c r="H24" s="13"/>
    </row>
    <row r="25" spans="1:8" ht="13.5" thickBot="1">
      <c r="A25" s="2">
        <f>IF(C23="Yes","Other equipment Cv","")</f>
      </c>
      <c r="C25" s="28"/>
      <c r="E25" s="2"/>
      <c r="H25" s="13"/>
    </row>
    <row r="26" ht="12.75">
      <c r="C26" s="50"/>
    </row>
    <row r="27" spans="1:5" ht="13.5" thickBot="1">
      <c r="A27" s="29" t="s">
        <v>8</v>
      </c>
      <c r="B27" s="9"/>
      <c r="C27" s="31"/>
      <c r="D27" s="32" t="s">
        <v>17</v>
      </c>
      <c r="E27" s="9"/>
    </row>
    <row r="28" spans="1:5" ht="13.5" thickBot="1">
      <c r="A28" s="9"/>
      <c r="B28" s="9"/>
      <c r="C28" s="42"/>
      <c r="D28" s="33"/>
      <c r="E28" s="41" t="s">
        <v>24</v>
      </c>
    </row>
    <row r="29" spans="1:5" ht="13.5" thickBot="1">
      <c r="A29" s="29" t="s">
        <v>9</v>
      </c>
      <c r="B29" s="9"/>
      <c r="C29" s="28"/>
      <c r="D29" s="33" t="s">
        <v>19</v>
      </c>
      <c r="E29" s="41" t="s">
        <v>25</v>
      </c>
    </row>
    <row r="30" spans="1:5" ht="13.5" thickBot="1">
      <c r="A30" s="9"/>
      <c r="B30" s="9"/>
      <c r="C30" s="42"/>
      <c r="D30" s="33"/>
      <c r="E30" s="9"/>
    </row>
    <row r="31" spans="1:5" ht="12.75">
      <c r="A31" s="29" t="s">
        <v>10</v>
      </c>
      <c r="B31" s="9"/>
      <c r="C31" s="34"/>
      <c r="D31" s="35" t="s">
        <v>19</v>
      </c>
      <c r="E31" s="9"/>
    </row>
    <row r="32" spans="1:5" ht="12.75">
      <c r="A32" s="29"/>
      <c r="B32" s="9"/>
      <c r="C32" s="42"/>
      <c r="D32" s="9"/>
      <c r="E32" s="9"/>
    </row>
    <row r="34" spans="1:7" ht="18">
      <c r="A34" s="4" t="s">
        <v>11</v>
      </c>
      <c r="D34" s="5" t="s">
        <v>15</v>
      </c>
      <c r="G34" s="5" t="s">
        <v>16</v>
      </c>
    </row>
    <row r="35" spans="4:7" ht="13.5" thickBot="1">
      <c r="D35" s="12" t="str">
        <f>IF(OR(type="1UL/S",type="2UL/S",type="3UL/S",type="1UL/D",type="2UL/D",type="3UL/D"),"(Louvre selected)","(Best weather protection)")</f>
        <v>(Best weather protection)</v>
      </c>
      <c r="G35" s="12" t="str">
        <f>IF(OR(type="1UL/S",type="2UL/S",type="3UL/S",type="1UL/D",type="2UL/D",type="3UL/D"),"","(Best air flow performance)")</f>
        <v>(Best air flow performance)</v>
      </c>
    </row>
    <row r="36" spans="1:7" ht="14.25" thickBot="1" thickTop="1">
      <c r="A36" s="5" t="s">
        <v>12</v>
      </c>
      <c r="D36" s="51" t="str">
        <f>type1</f>
        <v>N/A</v>
      </c>
      <c r="G36" s="51" t="str">
        <f>type2</f>
        <v>N/A</v>
      </c>
    </row>
    <row r="37" spans="4:7" ht="13.5" thickTop="1">
      <c r="D37" s="52" t="str">
        <f>IF(OR(D36="1UL/S",D36="1UL/D"),"Single bank",IF(OR(D36="2UL/S",D36="2UL/D"),"Double bank","Triple bank"))</f>
        <v>Triple bank</v>
      </c>
      <c r="G37" s="52">
        <f>IF(OR(G36="1UL/S",G36="1UL/D"),"Single bank",IF(OR(G36="2UL/S",G36="2UL/D"),"Double bank",IF(G36="N/A","","Triple bank")))</f>
      </c>
    </row>
    <row r="38" spans="4:7" ht="12.75">
      <c r="D38" s="52" t="str">
        <f>IF(OR(D36="1UL/S",D36="2UL/S",D36="3UL/S"),"50mm pitch","100mm pitch")</f>
        <v>100mm pitch</v>
      </c>
      <c r="G38" s="52">
        <f>IF(OR(G36="1UL/S",G36="2UL/S",G36="3UL/S"),"50mm pitch",IF(G36="N/A","","100mm pitch"))</f>
      </c>
    </row>
    <row r="39" spans="4:7" ht="13.5" thickBot="1">
      <c r="D39" s="52"/>
      <c r="G39" s="52"/>
    </row>
    <row r="40" spans="1:7" ht="14.25" thickBot="1" thickTop="1">
      <c r="A40" s="5" t="s">
        <v>13</v>
      </c>
      <c r="D40" s="51" t="str">
        <f>class1</f>
        <v>N/A</v>
      </c>
      <c r="G40" s="51" t="str">
        <f>class2</f>
        <v>N/A</v>
      </c>
    </row>
    <row r="41" spans="4:7" ht="14.25" thickBot="1" thickTop="1">
      <c r="D41" s="52"/>
      <c r="G41" s="52"/>
    </row>
    <row r="42" spans="1:8" ht="14.25" thickBot="1" thickTop="1">
      <c r="A42" s="5" t="s">
        <v>14</v>
      </c>
      <c r="D42" s="53" t="str">
        <f>drop1</f>
        <v>N/A</v>
      </c>
      <c r="E42" t="s">
        <v>17</v>
      </c>
      <c r="G42" s="53" t="str">
        <f>drop2</f>
        <v>N/A</v>
      </c>
      <c r="H42" t="s">
        <v>17</v>
      </c>
    </row>
    <row r="43" spans="1:7" ht="14.25" thickBot="1" thickTop="1">
      <c r="A43" s="5"/>
      <c r="D43" s="54"/>
      <c r="G43" s="54"/>
    </row>
    <row r="44" spans="1:8" ht="14.25" thickBot="1" thickTop="1">
      <c r="A44" s="5" t="s">
        <v>105</v>
      </c>
      <c r="D44" s="55" t="str">
        <f>cvel1</f>
        <v>N/A</v>
      </c>
      <c r="E44" t="s">
        <v>104</v>
      </c>
      <c r="G44" s="55" t="str">
        <f>cvel2</f>
        <v>N/A</v>
      </c>
      <c r="H44" t="s">
        <v>104</v>
      </c>
    </row>
    <row r="45" spans="4:7" ht="14.25" thickBot="1" thickTop="1">
      <c r="D45" s="56"/>
      <c r="G45" s="56"/>
    </row>
    <row r="46" spans="1:8" ht="14.25" thickBot="1" thickTop="1">
      <c r="A46" s="5" t="s">
        <v>88</v>
      </c>
      <c r="D46" s="57" t="str">
        <f>high1</f>
        <v>N/A</v>
      </c>
      <c r="E46" t="s">
        <v>19</v>
      </c>
      <c r="G46" s="57" t="str">
        <f>high2</f>
        <v>N/A</v>
      </c>
      <c r="H46" t="s">
        <v>19</v>
      </c>
    </row>
    <row r="47" spans="4:7" ht="14.25" thickBot="1" thickTop="1">
      <c r="D47" s="54"/>
      <c r="G47" s="56"/>
    </row>
    <row r="48" spans="1:8" ht="14.25" thickBot="1" thickTop="1">
      <c r="A48" s="5" t="s">
        <v>87</v>
      </c>
      <c r="B48" s="45">
        <f>IF(OR(pdrop="",high="",wide=""),"","CALCULATED VALUE")</f>
      </c>
      <c r="D48" s="57" t="str">
        <f>wide1</f>
        <v>N/A</v>
      </c>
      <c r="E48" t="s">
        <v>19</v>
      </c>
      <c r="G48" s="57" t="str">
        <f>wide2</f>
        <v>N/A</v>
      </c>
      <c r="H48" t="s">
        <v>19</v>
      </c>
    </row>
    <row r="49" spans="1:7" ht="14.25" thickBot="1" thickTop="1">
      <c r="A49" s="5"/>
      <c r="D49" s="58"/>
      <c r="G49" s="58"/>
    </row>
    <row r="50" spans="1:8" ht="14.25" thickBot="1" thickTop="1">
      <c r="A50" s="5" t="s">
        <v>106</v>
      </c>
      <c r="D50" s="53" t="str">
        <f>selection!E38</f>
        <v>N/A</v>
      </c>
      <c r="E50" t="s">
        <v>107</v>
      </c>
      <c r="G50" s="53" t="str">
        <f>selection!H38</f>
        <v>N/A</v>
      </c>
      <c r="H50" t="s">
        <v>107</v>
      </c>
    </row>
    <row r="51" spans="1:7" ht="13.5" thickTop="1">
      <c r="A51" s="2">
        <f>IF(OR(type="UL/D",type="UL/S"),"Note:","")</f>
      </c>
      <c r="B51" s="2">
        <f>IF(OR(type="UL/D",type="UL/S"),"These are the most common selections for these conditions.","")</f>
      </c>
      <c r="D51" s="27"/>
      <c r="G51" s="27"/>
    </row>
    <row r="52" ht="12.75">
      <c r="B52" s="2">
        <f>IF(OR(type="UL/D",type="UL/S"),"Specific site conditions may override these selections.","")</f>
      </c>
    </row>
    <row r="53" spans="1:7" ht="12.75">
      <c r="A53" s="6" t="s">
        <v>163</v>
      </c>
      <c r="G53" s="6" t="s">
        <v>156</v>
      </c>
    </row>
  </sheetData>
  <sheetProtection password="CC51" sheet="1" objects="1" scenarios="1"/>
  <dataValidations count="14">
    <dataValidation type="list" allowBlank="1" showInputMessage="1" showErrorMessage="1" prompt="How important is rain rejection performance for this louvre?&#10;&#10;" sqref="C11">
      <formula1>"Critical, Important, Unimportant"</formula1>
    </dataValidation>
    <dataValidation type="list" allowBlank="1" showInputMessage="1" showErrorMessage="1" prompt="Enter the degree of exposure to weather expected at the louvre location." sqref="C13">
      <formula1>"Exposed, Normal, Sheltered"</formula1>
    </dataValidation>
    <dataValidation type="list" allowBlank="1" showInputMessage="1" showErrorMessage="1" sqref="C17">
      <formula1>"Inlet, Extract"</formula1>
    </dataValidation>
    <dataValidation type="list" allowBlank="1" showInputMessage="1" showErrorMessage="1" sqref="C19">
      <formula1>"No connection, Ducted"</formula1>
    </dataValidation>
    <dataValidation type="list" allowBlank="1" showInputMessage="1" showErrorMessage="1" sqref="C15">
      <formula1>"None, Bird guard, Insect mesh"</formula1>
    </dataValidation>
    <dataValidation type="list" allowBlank="1" showInputMessage="1" showErrorMessage="1" prompt="Select UL/S for 50mm pitch shallow section louvre or UL/D for 100mm pitch deep section louve.&#10;SelectUL/S or UL/D for automatic selection or 1UL/S, etc for your own selection." sqref="C9">
      <formula1>"UL/S, UL/D, 1UL/S, 1UL/D, 2UL/S, 2UL/D, 3UL/S, 3UL/D"</formula1>
    </dataValidation>
    <dataValidation allowBlank="1" showInputMessage="1" showErrorMessage="1" prompt="Insert value if known or leave blank for default value of 1.25m" sqref="H15"/>
    <dataValidation allowBlank="1" showInputMessage="1" showErrorMessage="1" prompt="Insert value if known or leave blank for default of 2m." sqref="H16"/>
    <dataValidation allowBlank="1" showInputMessage="1" showErrorMessage="1" prompt="insert value of known or leave blank for default of 3.2m." sqref="H17"/>
    <dataValidation allowBlank="1" showInputMessage="1" showErrorMessage="1" prompt="Insert value if known or leave blank for default of 0.1m." sqref="H19"/>
    <dataValidation allowBlank="1" showInputMessage="1" showErrorMessage="1" prompt="Insert mullion spacing if known or leave blank for default value of 1.0m." sqref="H13"/>
    <dataValidation type="list" allowBlank="1" showInputMessage="1" showErrorMessage="1" sqref="H9">
      <formula1>"Aluminium, Stainless steel, Galvanised steel"</formula1>
    </dataValidation>
    <dataValidation allowBlank="1" showInputMessage="1" showErrorMessage="1" prompt="Insert air density or leave blank for default value of 1.2 kg/m3." sqref="H21:H25"/>
    <dataValidation type="list" allowBlank="1" showInputMessage="1" showErrorMessage="1" sqref="C23">
      <formula1>"Yes,No"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1"/>
  <sheetViews>
    <sheetView zoomScalePageLayoutView="0" workbookViewId="0" topLeftCell="A40">
      <selection activeCell="L58" sqref="L58"/>
    </sheetView>
  </sheetViews>
  <sheetFormatPr defaultColWidth="9.140625" defaultRowHeight="12.75"/>
  <sheetData>
    <row r="2" ht="12.75">
      <c r="A2" s="25"/>
    </row>
    <row r="3" spans="1:2" ht="12.75">
      <c r="A3" s="25">
        <v>1</v>
      </c>
      <c r="B3" t="s">
        <v>140</v>
      </c>
    </row>
    <row r="4" spans="1:2" ht="12.75">
      <c r="A4" s="25"/>
      <c r="B4" t="s">
        <v>150</v>
      </c>
    </row>
    <row r="5" ht="12.75">
      <c r="A5" s="25"/>
    </row>
    <row r="6" spans="1:2" ht="12.75">
      <c r="A6" s="25">
        <v>2</v>
      </c>
      <c r="B6" t="s">
        <v>123</v>
      </c>
    </row>
    <row r="7" spans="1:2" ht="12.75">
      <c r="A7" s="25"/>
      <c r="B7" t="s">
        <v>124</v>
      </c>
    </row>
    <row r="8" ht="12.75">
      <c r="A8" s="25"/>
    </row>
    <row r="9" spans="1:2" ht="12.75">
      <c r="A9" s="25">
        <v>3</v>
      </c>
      <c r="B9" t="s">
        <v>131</v>
      </c>
    </row>
    <row r="10" ht="12.75">
      <c r="A10" s="25"/>
    </row>
    <row r="11" spans="1:2" ht="12.75">
      <c r="A11" s="25">
        <v>4</v>
      </c>
      <c r="B11" t="s">
        <v>148</v>
      </c>
    </row>
    <row r="12" spans="1:2" ht="12.75">
      <c r="A12" s="25"/>
      <c r="B12" t="s">
        <v>147</v>
      </c>
    </row>
    <row r="13" spans="1:4" ht="12.75">
      <c r="A13" s="25"/>
      <c r="C13" t="s">
        <v>146</v>
      </c>
      <c r="D13" t="s">
        <v>145</v>
      </c>
    </row>
    <row r="14" spans="1:4" ht="12.75">
      <c r="A14" s="25"/>
      <c r="B14" t="s">
        <v>65</v>
      </c>
      <c r="C14" s="25">
        <v>7</v>
      </c>
      <c r="D14" s="25">
        <v>-6</v>
      </c>
    </row>
    <row r="15" spans="1:4" ht="12.75">
      <c r="A15" s="25"/>
      <c r="B15" t="s">
        <v>66</v>
      </c>
      <c r="C15" s="25">
        <v>4</v>
      </c>
      <c r="D15" s="25">
        <v>-4</v>
      </c>
    </row>
    <row r="16" spans="1:4" ht="12.75">
      <c r="A16" s="25"/>
      <c r="B16" t="s">
        <v>67</v>
      </c>
      <c r="C16" s="25">
        <v>3</v>
      </c>
      <c r="D16" s="25">
        <v>-3</v>
      </c>
    </row>
    <row r="17" ht="12" customHeight="1">
      <c r="A17" s="25"/>
    </row>
    <row r="18" spans="1:2" ht="12.75">
      <c r="A18" s="25">
        <v>5</v>
      </c>
      <c r="B18" t="s">
        <v>138</v>
      </c>
    </row>
    <row r="19" spans="1:2" ht="12.75">
      <c r="A19" s="25"/>
      <c r="B19" t="s">
        <v>139</v>
      </c>
    </row>
    <row r="20" ht="12.75">
      <c r="A20" s="25"/>
    </row>
    <row r="21" spans="1:2" ht="12.75">
      <c r="A21" s="25">
        <v>6</v>
      </c>
      <c r="B21" t="s">
        <v>112</v>
      </c>
    </row>
    <row r="22" spans="1:2" ht="12.75">
      <c r="A22" s="25"/>
      <c r="B22" t="s">
        <v>113</v>
      </c>
    </row>
    <row r="23" spans="1:2" ht="12.75">
      <c r="A23" s="25"/>
      <c r="B23" t="s">
        <v>114</v>
      </c>
    </row>
    <row r="24" spans="1:2" ht="12.75">
      <c r="A24" s="25"/>
      <c r="B24" t="s">
        <v>115</v>
      </c>
    </row>
    <row r="25" ht="12.75">
      <c r="A25" s="25"/>
    </row>
    <row r="26" spans="1:2" ht="12.75">
      <c r="A26" s="25">
        <v>7</v>
      </c>
      <c r="B26" t="s">
        <v>122</v>
      </c>
    </row>
    <row r="27" spans="1:2" ht="12.75">
      <c r="A27" s="25"/>
      <c r="B27" t="s">
        <v>116</v>
      </c>
    </row>
    <row r="28" ht="12.75">
      <c r="A28" s="25"/>
    </row>
    <row r="29" spans="1:2" ht="12.75">
      <c r="A29" s="25">
        <v>8</v>
      </c>
      <c r="B29" t="s">
        <v>125</v>
      </c>
    </row>
    <row r="30" ht="12.75">
      <c r="A30" s="25"/>
    </row>
    <row r="31" spans="1:2" ht="12.75">
      <c r="A31" s="25"/>
      <c r="B31" t="s">
        <v>117</v>
      </c>
    </row>
    <row r="32" spans="1:2" ht="12.75">
      <c r="A32" s="25"/>
      <c r="B32" t="s">
        <v>118</v>
      </c>
    </row>
    <row r="33" spans="1:2" ht="12.75">
      <c r="A33" s="25"/>
      <c r="B33" t="s">
        <v>119</v>
      </c>
    </row>
    <row r="34" spans="1:2" ht="12.75">
      <c r="A34" s="25"/>
      <c r="B34" t="s">
        <v>120</v>
      </c>
    </row>
    <row r="35" ht="12.75">
      <c r="A35" s="25"/>
    </row>
    <row r="36" spans="1:2" ht="12.75">
      <c r="A36" s="25"/>
      <c r="B36" t="s">
        <v>126</v>
      </c>
    </row>
    <row r="37" spans="1:2" ht="12.75">
      <c r="A37" s="25"/>
      <c r="B37" t="s">
        <v>127</v>
      </c>
    </row>
    <row r="38" spans="1:2" ht="12.75">
      <c r="A38" s="25"/>
      <c r="B38" t="s">
        <v>128</v>
      </c>
    </row>
    <row r="39" spans="1:2" ht="12.75">
      <c r="A39" s="25"/>
      <c r="B39" t="s">
        <v>129</v>
      </c>
    </row>
    <row r="40" ht="12.75">
      <c r="A40" s="25"/>
    </row>
    <row r="41" spans="1:2" ht="12.75">
      <c r="A41" s="25">
        <v>9</v>
      </c>
      <c r="B41" t="s">
        <v>121</v>
      </c>
    </row>
    <row r="42" ht="12.75">
      <c r="A42" s="25"/>
    </row>
    <row r="43" spans="1:2" ht="12.75">
      <c r="A43" s="25">
        <v>10</v>
      </c>
      <c r="B43" t="s">
        <v>159</v>
      </c>
    </row>
    <row r="44" spans="1:2" ht="12.75">
      <c r="A44" s="25"/>
      <c r="B44" t="s">
        <v>160</v>
      </c>
    </row>
    <row r="45" ht="12.75">
      <c r="A45" s="25"/>
    </row>
    <row r="46" spans="1:2" ht="12.75">
      <c r="A46" s="25">
        <v>11</v>
      </c>
      <c r="B46" t="s">
        <v>111</v>
      </c>
    </row>
    <row r="47" ht="12.75">
      <c r="A47" s="25"/>
    </row>
    <row r="48" spans="1:2" ht="12.75">
      <c r="A48" s="25">
        <v>12</v>
      </c>
      <c r="B48" s="45" t="s">
        <v>152</v>
      </c>
    </row>
    <row r="49" spans="1:2" ht="12.75">
      <c r="A49" s="25"/>
      <c r="B49" s="45" t="s">
        <v>153</v>
      </c>
    </row>
    <row r="50" spans="1:2" ht="12.75">
      <c r="A50" s="25"/>
      <c r="B50" s="45"/>
    </row>
    <row r="51" ht="12.75">
      <c r="A51" s="38" t="s">
        <v>132</v>
      </c>
    </row>
    <row r="52" ht="12.75">
      <c r="A52" s="25"/>
    </row>
    <row r="53" spans="1:3" ht="12.75">
      <c r="A53" s="39">
        <v>37773</v>
      </c>
      <c r="C53" t="s">
        <v>133</v>
      </c>
    </row>
    <row r="54" spans="1:3" ht="12.75">
      <c r="A54" s="39">
        <v>37803</v>
      </c>
      <c r="C54" t="s">
        <v>144</v>
      </c>
    </row>
    <row r="55" spans="1:3" ht="12.75">
      <c r="A55" s="39">
        <v>37926</v>
      </c>
      <c r="C55" t="s">
        <v>154</v>
      </c>
    </row>
    <row r="56" spans="1:3" ht="12.75">
      <c r="A56" s="39">
        <v>38047</v>
      </c>
      <c r="C56" t="s">
        <v>155</v>
      </c>
    </row>
    <row r="57" spans="1:3" ht="12.75">
      <c r="A57" s="39">
        <v>39934</v>
      </c>
      <c r="C57" t="s">
        <v>158</v>
      </c>
    </row>
    <row r="58" ht="12.75">
      <c r="A58" s="25"/>
    </row>
    <row r="59" ht="12.75">
      <c r="A59" s="25"/>
    </row>
    <row r="60" ht="12.75">
      <c r="A60" s="25"/>
    </row>
    <row r="61" ht="12.75">
      <c r="A61" s="25"/>
    </row>
  </sheetData>
  <sheetProtection password="CC51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PageLayoutView="0" workbookViewId="0" topLeftCell="A1">
      <selection activeCell="M35" sqref="M35"/>
    </sheetView>
  </sheetViews>
  <sheetFormatPr defaultColWidth="9.140625" defaultRowHeight="12.75"/>
  <cols>
    <col min="5" max="5" width="9.57421875" style="0" bestFit="1" customWidth="1"/>
  </cols>
  <sheetData>
    <row r="1" ht="12.75">
      <c r="E1" s="43" t="s">
        <v>71</v>
      </c>
    </row>
    <row r="3" spans="1:13" ht="12.75">
      <c r="A3" t="s">
        <v>4</v>
      </c>
      <c r="C3" t="s">
        <v>75</v>
      </c>
      <c r="D3" t="s">
        <v>76</v>
      </c>
      <c r="E3" t="s">
        <v>77</v>
      </c>
      <c r="G3" t="s">
        <v>75</v>
      </c>
      <c r="H3" t="s">
        <v>76</v>
      </c>
      <c r="I3" t="s">
        <v>77</v>
      </c>
      <c r="K3" t="s">
        <v>75</v>
      </c>
      <c r="L3" t="s">
        <v>76</v>
      </c>
      <c r="M3" t="s">
        <v>77</v>
      </c>
    </row>
    <row r="4" spans="1:13" ht="12.75">
      <c r="A4" t="s">
        <v>72</v>
      </c>
      <c r="C4" t="s">
        <v>78</v>
      </c>
      <c r="D4" t="s">
        <v>78</v>
      </c>
      <c r="E4" t="s">
        <v>78</v>
      </c>
      <c r="G4" t="s">
        <v>79</v>
      </c>
      <c r="H4" t="s">
        <v>79</v>
      </c>
      <c r="I4" t="s">
        <v>79</v>
      </c>
      <c r="K4" t="s">
        <v>80</v>
      </c>
      <c r="L4" t="s">
        <v>80</v>
      </c>
      <c r="M4" t="s">
        <v>80</v>
      </c>
    </row>
    <row r="6" spans="1:13" ht="12.75">
      <c r="A6" t="s">
        <v>73</v>
      </c>
      <c r="C6" t="s">
        <v>67</v>
      </c>
      <c r="D6" t="s">
        <v>67</v>
      </c>
      <c r="E6" t="s">
        <v>65</v>
      </c>
      <c r="G6" s="37" t="s">
        <v>67</v>
      </c>
      <c r="H6" t="s">
        <v>66</v>
      </c>
      <c r="I6" t="s">
        <v>65</v>
      </c>
      <c r="K6" t="s">
        <v>67</v>
      </c>
      <c r="L6" t="s">
        <v>66</v>
      </c>
      <c r="M6" t="s">
        <v>65</v>
      </c>
    </row>
    <row r="7" spans="1:13" ht="12.75">
      <c r="A7" t="s">
        <v>74</v>
      </c>
      <c r="C7" t="s">
        <v>81</v>
      </c>
      <c r="D7" s="37" t="s">
        <v>66</v>
      </c>
      <c r="E7" t="s">
        <v>81</v>
      </c>
      <c r="G7" s="37" t="s">
        <v>66</v>
      </c>
      <c r="H7" t="s">
        <v>81</v>
      </c>
      <c r="I7" t="s">
        <v>81</v>
      </c>
      <c r="K7" t="s">
        <v>66</v>
      </c>
      <c r="L7" t="s">
        <v>81</v>
      </c>
      <c r="M7" t="s">
        <v>81</v>
      </c>
    </row>
    <row r="9" ht="12.75">
      <c r="C9" s="19"/>
    </row>
    <row r="10" spans="12:17" ht="12.75">
      <c r="L10" t="s">
        <v>135</v>
      </c>
      <c r="M10" t="s">
        <v>135</v>
      </c>
      <c r="N10" t="s">
        <v>136</v>
      </c>
      <c r="O10" t="s">
        <v>136</v>
      </c>
      <c r="P10" t="s">
        <v>137</v>
      </c>
      <c r="Q10" t="s">
        <v>137</v>
      </c>
    </row>
    <row r="11" spans="1:17" ht="12.75">
      <c r="A11" t="s">
        <v>82</v>
      </c>
      <c r="C11" t="s">
        <v>73</v>
      </c>
      <c r="D11" t="str">
        <f>IF(OR(wres="1UL",wres="2UL",wres="3UL"),wres,IF(loc="Severe",IF(wres="Critical","3UL",IF(wres="Important","3UL","1UL")),IF(loc="Normal",IF(wres="Critical","3UL",IF(wres="Important","2UL","1UL")),IF(wres="Critical","2UL",IF(wres="Important","2UL","1UL")))))</f>
        <v>1UL</v>
      </c>
      <c r="K11" t="s">
        <v>91</v>
      </c>
      <c r="L11" s="37" t="e">
        <f>4*$E$30+2.6*$E$32+(6+1.6/ulpanel!$F$20)*$E$30*$E$32+IF(acc="Bird guard",0.53*$E$30*$E$32,IF(acc="Insect mesh",0.75*$E$30*$E$32,0))</f>
        <v>#VALUE!</v>
      </c>
      <c r="M11" s="37" t="e">
        <f>4*$H$30+2.6*$H$32+(6+1.6/ulpanel!$F$20)*$H$30*$H$32+IF(acc="Bird guard",0.53*$H$30*$H$32,IF(acc="Insect mesh",0.75*$H$30*$H$32,0))</f>
        <v>#VALUE!</v>
      </c>
      <c r="N11" s="37" t="e">
        <f>9.6*$E$30+6*$E$32+(14.2+3.9/ulpanel!$F$20)*$E$30*$E$32+IF(acc="Bird guard",2.5*$E$30*$E$32,IF(acc="Insect mesh",2.72*$E$30*$E$32,0))</f>
        <v>#VALUE!</v>
      </c>
      <c r="O11" s="37" t="e">
        <f>9.6*$H$30+6*$H$32+(14.2+3.9/ulpanel!$F$20)*$H$30*$H$32+IF(acc="Bird guard",2.5*$H$30*$H$32,IF(acc="Insect mesh",2.72*$H$30*$H$32,0))</f>
        <v>#VALUE!</v>
      </c>
      <c r="P11" s="37" t="e">
        <f>9.1*$E$30+5.8*$E$32+(15.4+3.6/ulpanel!$F$20)*$E$30*$E$32+IF(acc="Bird guard",2.6*$E$30*$E$32,IF(acc="Insect mesh",2.82*$E$30*$E$32,0))</f>
        <v>#VALUE!</v>
      </c>
      <c r="Q11" s="37" t="e">
        <f>9.1*$H$30+5.8*$H$32+(15.4+3.6/ulpanel!$F$20)*$H$30*$H$32+IF(acc="Bird guard",2.6*$H$30*$H$32,IF(acc="Insect mesh",2.82*$H$30*$H$32,0))</f>
        <v>#VALUE!</v>
      </c>
    </row>
    <row r="12" spans="3:17" ht="12.75">
      <c r="C12" t="s">
        <v>74</v>
      </c>
      <c r="D12" t="str">
        <f>IF(OR(wres="1UL",wres="2UL",wres="3UL"),"N/A",IF(loc="Severe",IF(wres="Critical","N/A",IF(wres="Important","2UL","N/A")),IF(loc="Normal",IF(wres="Critical","2UL",IF(wres="Important","N/A","N/A")),IF(wres="Critical","2UL",IF(wres="Important","N/A","N/A")))))</f>
        <v>N/A</v>
      </c>
      <c r="K12" t="s">
        <v>90</v>
      </c>
      <c r="L12" s="37" t="e">
        <f>3.2*$E$30+2.1*$E$32+(5.1+1.3/ulpanel!$F$20)*$E$30*$E$32+IF(acc="Bird guard",0.53*$E$30*$E$32,IF(acc="Insect mesh",0.75*$E$30*$E$32,0))</f>
        <v>#VALUE!</v>
      </c>
      <c r="M12" s="37" t="e">
        <f>3.2*$H$30+2.1*$H$32+(5.1+1.3/ulpanel!$F$20)*$H$30*$H$32+IF(acc="Bird guard",0.53*$H$30*$H$32,IF(acc="Insect mesh",0.75*$H$30*$H$32,0))</f>
        <v>#VALUE!</v>
      </c>
      <c r="N12" s="37" t="e">
        <f>7.7*$E$30+4.85*$E$32+(12.6+3.2/ulpanel!$F$20)*$E$30*$E$32+IF(acc="Bird guard",2.5*$E$30*$E$32,IF(acc="Insect mesh",2.72*$E$30*$E$32,0))</f>
        <v>#VALUE!</v>
      </c>
      <c r="O12" s="37" t="e">
        <f>7.7*$H$30+4.85*$H$32+(12.6+3.2/ulpanel!$F$20)*$H$30*$H$32+IF(acc="Bird guard",2.5*$H$30*$H$32,IF(acc="Insect mesh",2.72*$H$30*$H$32,0))</f>
        <v>#VALUE!</v>
      </c>
      <c r="P12" s="37" t="e">
        <f>7.4*$E$30+4.8*$E$32+(14.2+3/ulpanel!$F$20)*$E$30*$E$32+IF(acc="Bird guard",2.6*$E$30*$E$32,IF(acc="Insect mesh",2.82*$E$30*$E$32,0))</f>
        <v>#VALUE!</v>
      </c>
      <c r="Q12" s="37" t="e">
        <f>7.4*$H$30+4.8*$H$32+(14.2+3/ulpanel!$F$20)*$H$30*$H$32+IF(acc="Bird guard",2.6*$H$30*$H$32,IF(acc="Insect mesh",2.82*$H$30*$H$32,0))</f>
        <v>#VALUE!</v>
      </c>
    </row>
    <row r="13" spans="6:17" ht="12.75">
      <c r="F13" t="s">
        <v>98</v>
      </c>
      <c r="J13" s="2" t="s">
        <v>109</v>
      </c>
      <c r="K13" t="s">
        <v>95</v>
      </c>
      <c r="L13" s="37" t="e">
        <f>4.9*$E$30+2.8*$E$32+(11.9+2.6/ulpanel!$G$20)*$E$30*$E$32+IF(acc="Bird guard",0.53*$E$30*$E$32,IF(acc="Insect mesh",0.75*$E$30*$E$32,0))</f>
        <v>#VALUE!</v>
      </c>
      <c r="M13" s="37" t="e">
        <f>4.9*$H$30+2.8*$H$32+(11.9+2.6/ulpanel!$G$20)*$H$30*$H$32+IF(acc="Bird guard",0.53*$H$30*$H$32,IF(acc="Insect mesh",0.75*$H$30*$H$32,0))</f>
        <v>#VALUE!</v>
      </c>
      <c r="N13" s="37" t="e">
        <f>11.7*$E$30+6.5*$E$32+(29+6/ulpanel!$G$20)*$E$30*$E$32+IF(acc="Bird guard",2.5*$E$30*$E$32,IF(acc="Insect mesh",2.72*$E$30*$E$32,0))</f>
        <v>#VALUE!</v>
      </c>
      <c r="O13" s="37" t="e">
        <f>11.7*$H$30+6.5*$H$32+(29+6/ulpanel!$G$20)*$H$30*$H$32+IF(acc="Bird guard",2.5*$H$30*$H$32,IF(acc="Insect mesh",2.72*$H$30*$H$32,0))</f>
        <v>#VALUE!</v>
      </c>
      <c r="P13" s="37" t="e">
        <f>11.1*$E$30+6.4*$E$32+(31.9+5.5/ulpanel!$G$20)*$E$30*$E$32+IF(acc="Bird guard",2.6*$E$30*$E$32,IF(acc="Insect mesh",2.82*$E$30*$E$32,0))</f>
        <v>#VALUE!</v>
      </c>
      <c r="Q13" s="37" t="e">
        <f>11.1*$H$30+6.4*$H$32+(31.9+5.5/ulpanel!$G$20)*$H$30*$H$32+IF(acc="Bird guard",2.6*$H$30*$H$32,IF(acc="Insect mesh",2.82*$H$30*$H$32,0))</f>
        <v>#VALUE!</v>
      </c>
    </row>
    <row r="14" spans="1:17" ht="12.75">
      <c r="A14" t="s">
        <v>83</v>
      </c>
      <c r="C14" t="s">
        <v>73</v>
      </c>
      <c r="D14" t="str">
        <f>IF(type="","N/A",IF(type="UL/S",IF(D11="1UL","1UL/S",IF(D11="2UL","2UL/S","3UL/S")),IF(type="UL/D",IF(D11="1UL","1UL/D",IF(D11="2UL","2UL/D","3UL/D")),type)))</f>
        <v>N/A</v>
      </c>
      <c r="F14" s="23">
        <f>IF(pdrop="",LOOKUP(D14,ulpress!B26:ulpress!B31,ulpress!H26:ulpress!H31),LOOKUP(D14,ulpanel!G25:ulpanel!G28,ulpanel!I25:ulpanel!I28))</f>
        <v>0</v>
      </c>
      <c r="K14" t="s">
        <v>92</v>
      </c>
      <c r="L14" s="37" t="e">
        <f>4.3*$E$30+2.3*$E$32+(11+2.3/ulpanel!$G$20)*$E$30*$E$32+IF(acc="Bird guard",0.53*$E$30*$E$32,IF(acc="Insect mesh",0.75*$E$30*$E$32,0))</f>
        <v>#VALUE!</v>
      </c>
      <c r="M14" s="37" t="e">
        <f>4.3*$H$30+2.3*$H$32+(11+2.3/ulpanel!$G$20)*$H$30*$H$32+IF(acc="Bird guard",0.53*$H$30*$H$32,IF(acc="Insect mesh",0.75*$H$30*$H$32,0))</f>
        <v>#VALUE!</v>
      </c>
      <c r="N14" s="37" t="e">
        <f>10.6*$E$30+5.4*$E$32+(27.6+5.7/ulpanel!$G$20)*$E$30*$E$32+IF(acc="Bird guard",2.5*$E$30*$E$32,IF(acc="Insect mesh",2.72*$E$30*$E$32,0))</f>
        <v>#VALUE!</v>
      </c>
      <c r="O14" s="37" t="e">
        <f>10.6*$H$30+5.4*$H$32+(27.6+5.7/ulpanel!$G$20)*$H$30*$H$32+IF(acc="Bird guard",2.5*$H$30*$H$32,IF(acc="Insect mesh",2.72*$H$30*$H$32,0))</f>
        <v>#VALUE!</v>
      </c>
      <c r="P14" s="37" t="e">
        <f>10*$E$30+5.3*$E$32+(30.5+5/ulpanel!$G$20)*$E$30*$E$32+IF(acc="Bird guard",2.6*$E$30*$E$32,IF(acc="Insect mesh",2.82*$E$30*$E$32,0))</f>
        <v>#VALUE!</v>
      </c>
      <c r="Q14" s="37" t="e">
        <f>10*$H$30+5.3*$H$32+(30.5+5/ulpanel!$G$20)*$H$30*$H$32+IF(acc="Bird guard",2.6*$H$30*$H$32,IF(acc="Insect mesh",2.82*$H$30*$H$32,0))</f>
        <v>#VALUE!</v>
      </c>
    </row>
    <row r="15" spans="3:17" ht="12.75">
      <c r="C15" t="s">
        <v>74</v>
      </c>
      <c r="D15" t="str">
        <f>IF(type="UL/S",IF(D12="1UL","1UL/S",IF(D12="2UL","2UL/S",IF(D12="3UL","3UL/S",IF(D12="N/A","N/A")))),IF(type="UL/D",IF(D12="1UL","1UL/D",IF(D12="2UL","2UL/D",IF(D12="3UL","3UL/D",IF(D12="N/A","N/A")))),"N/A"))</f>
        <v>N/A</v>
      </c>
      <c r="F15" s="23">
        <f>IF(pdrop="",LOOKUP(D15,ulpress!B26:ulpress!B31,ulpress!H26:ulpress!H31),LOOKUP(D15,ulpanel!G25:ulpanel!G28,ulpanel!I25:ulpanel!I28))</f>
        <v>0</v>
      </c>
      <c r="K15" t="s">
        <v>94</v>
      </c>
      <c r="L15" s="37" t="e">
        <f>6.75*$E$30+4.2*$E$32+(16.7+3.4/ulpanel!$H$20)*$E$30*$E$32+IF(acc="Bird guard",0.53*$E$30*$E$32,IF(acc="Insect mesh",0.75*$E$30*$E$32,0))</f>
        <v>#VALUE!</v>
      </c>
      <c r="M15" s="37" t="e">
        <f>6.75*$H$30+4.2*$H$32+(16.7+3.4/ulpanel!$H$20)*$H$30*$H$32+IF(acc="Bird guard",0.53*$H$30*$H$32,IF(acc="Insect mesh",0.75*$H$30*$H$32,0))</f>
        <v>#VALUE!</v>
      </c>
      <c r="N15" s="37" t="e">
        <f>15.7*$E$30+9.8*$E$32+(40.6+7.7/ulpanel!$H$20)*$E$30*$E$32+IF(acc="Bird guard",2.5*$E$30*$E$32,IF(acc="Insect mesh",2.72*$E$30*$E$32,0))</f>
        <v>#VALUE!</v>
      </c>
      <c r="O15" s="37" t="e">
        <f>15.7*$H$30+9.8*$H$32+(40.6+7.7/ulpanel!$H$20)*$E$30*$H$32+IF(acc="Bird guard",2.5*$H$30*$H$32,IF(acc="Insect mesh",2.72*$H$30*$H$32,0))</f>
        <v>#VALUE!</v>
      </c>
      <c r="P15" s="37" t="e">
        <f>15.3*$E$30+9.5*$E$32+(44.9+7.2/ulpanel!$H$20)*$E$30*$E$32+IF(acc="Bird guard",2.6*$E$30*$E$32,IF(acc="Insect mesh",2.82*$E$30*$E$32,0))</f>
        <v>#VALUE!</v>
      </c>
      <c r="Q15" s="37" t="e">
        <f>15.3*$H$30+9.5*$H$32+(44.9+7.2/ulpanel!$H$20)*$H$30*$H$32+IF(acc="Bird guard",2.6*$H$30*$H$32,IF(acc="Insect mesh",2.82*$H$30*$H$32,0))</f>
        <v>#VALUE!</v>
      </c>
    </row>
    <row r="16" spans="11:17" ht="12.75">
      <c r="K16" t="s">
        <v>93</v>
      </c>
      <c r="L16" s="37" t="e">
        <f>6.25*$E$30+3.7*$E$32+(15.75+3.1/ulpanel!$H$20)*$E$30*$E$32+IF(acc="Bird guard",0.53*$E$30*$E$32,IF(acc="Insect mesh",0.75*$E$30*$E$32,0))</f>
        <v>#VALUE!</v>
      </c>
      <c r="M16" s="37" t="e">
        <f>6.25*$H$30+3.7*$H$32+(15.75+3.1/ulpanel!$H$20)*$H$30*$H$32+IF(acc="Bird guard",0.53*$H$30*$H$32,IF(acc="Insect mesh",0.75*$H$30*$H$32,0))</f>
        <v>#VALUE!</v>
      </c>
      <c r="N16" s="37" t="e">
        <f>14.5*$E$30+8.5*$E$32+(39.1+7/ulpanel!$H$20)*$E$30*$E$32+IF(acc="Bird guard",2.5*$E$30*$E$32,IF(acc="Insect mesh",2.72*$E$30*$E$32,0))</f>
        <v>#VALUE!</v>
      </c>
      <c r="O16" s="37" t="e">
        <f>14.5*$H$30+8.5*$H$32+(39.1+7/ulpanel!$H$20)*$H$30*$H$32+IF(acc="Bird guard",2.5*$H$30*$H$32,IF(acc="Insect mesh",2.72*$H$30*$H$32,0))</f>
        <v>#VALUE!</v>
      </c>
      <c r="P16" s="37" t="e">
        <f>14.2*$E$30+8.4*$E$32+(43.6+6.5/ulpanel!$H$20)*$E$30*$E$32+IF(acc="Bird guard",2.6*$E$30*$E$32,IF(acc="Insect mesh",2.82*$E$30*$E$32,0))</f>
        <v>#VALUE!</v>
      </c>
      <c r="Q16" s="37" t="e">
        <f>14.2*$H$30+8.4*$H$32+(43.6+6.5/ulpanel!$H$20)*$H$30*$H$32+IF(acc="Bird guard",2.6*$H$30*$H$32,IF(acc="Insect mesh",2.82*$H$30*$H$32,0))</f>
        <v>#VALUE!</v>
      </c>
    </row>
    <row r="20" spans="1:8" ht="18">
      <c r="A20" s="4" t="s">
        <v>11</v>
      </c>
      <c r="E20" s="5" t="s">
        <v>15</v>
      </c>
      <c r="H20" s="5" t="s">
        <v>16</v>
      </c>
    </row>
    <row r="21" spans="5:8" ht="13.5" thickBot="1">
      <c r="E21" s="12" t="s">
        <v>20</v>
      </c>
      <c r="H21" s="12" t="s">
        <v>21</v>
      </c>
    </row>
    <row r="22" spans="1:8" ht="14.25" thickBot="1" thickTop="1">
      <c r="A22" s="5" t="s">
        <v>12</v>
      </c>
      <c r="E22" s="24" t="str">
        <f>D14</f>
        <v>N/A</v>
      </c>
      <c r="H22" s="24" t="str">
        <f>D15</f>
        <v>N/A</v>
      </c>
    </row>
    <row r="23" ht="14.25" thickBot="1" thickTop="1">
      <c r="E23" s="25"/>
    </row>
    <row r="24" spans="1:8" ht="14.25" thickBot="1" thickTop="1">
      <c r="A24" s="5" t="s">
        <v>13</v>
      </c>
      <c r="E24" s="24" t="str">
        <f>IF(type1="N/A","N/A",IF(OR(EXACT(D14,"1UL/S"),EXACT(D14,"1UL/D")),"D1",IF(OR(EXACT(D14,"2UL/S"),EXACT(D14,"2UL/D")),IF(OR(F14&lt;=1,dir="Extract"),"A2",IF(AND(F14&gt;1,F14&lt;=2.2),"B2","C2")),"A3")))</f>
        <v>N/A</v>
      </c>
      <c r="H24" s="24" t="str">
        <f>IF(OR(EXACT(D15,"1UL/S"),EXACT(D15,"1UL/D")),"D1",IF(OR(EXACT(D15,"2UL/S"),EXACT(D15,"2UL/D")),IF(OR(F15&lt;=1,dir="Extract"),"A2",IF(AND(F15&gt;1,F15&lt;=2.2),"B2","C2")),IF(OR(EXACT(D15,"3UL/S"),EXACT(D15,"3UL/D")),"A3","N/A")))</f>
        <v>N/A</v>
      </c>
    </row>
    <row r="25" ht="14.25" thickBot="1" thickTop="1"/>
    <row r="26" spans="1:9" ht="14.25" thickBot="1" thickTop="1">
      <c r="A26" s="5" t="s">
        <v>14</v>
      </c>
      <c r="E26" s="22" t="str">
        <f>IF(type1="N/A","N/A",IF(pdrop="",LOOKUP(type1,ulpress!B26:ulpress!B31,ulpress!F26:ulpress!F31),pdrop))</f>
        <v>N/A</v>
      </c>
      <c r="F26" t="s">
        <v>17</v>
      </c>
      <c r="H26" s="8" t="str">
        <f>IF(type2="N/A","N/A",IF(pdrop="",LOOKUP(type2,ulpress!B26:ulpress!B31,ulpress!F26:ulpress!F31),pdrop))</f>
        <v>N/A</v>
      </c>
      <c r="I26" t="s">
        <v>17</v>
      </c>
    </row>
    <row r="27" spans="1:8" ht="14.25" thickBot="1" thickTop="1">
      <c r="A27" s="5"/>
      <c r="E27" s="26"/>
      <c r="H27" s="9"/>
    </row>
    <row r="28" spans="1:9" ht="14.25" thickBot="1" thickTop="1">
      <c r="A28" s="5" t="s">
        <v>103</v>
      </c>
      <c r="E28" s="21" t="str">
        <f>IF(type1="N/A","N/A",F14)</f>
        <v>N/A</v>
      </c>
      <c r="F28" t="s">
        <v>104</v>
      </c>
      <c r="H28" s="46" t="str">
        <f>IF(H22="N/A","N/A",F15)</f>
        <v>N/A</v>
      </c>
      <c r="I28" t="s">
        <v>104</v>
      </c>
    </row>
    <row r="29" spans="1:8" ht="14.25" thickBot="1" thickTop="1">
      <c r="A29" s="5"/>
      <c r="E29" s="27"/>
      <c r="H29" s="47"/>
    </row>
    <row r="30" spans="1:9" ht="14.25" thickBot="1" thickTop="1">
      <c r="A30" s="5" t="s">
        <v>88</v>
      </c>
      <c r="E30" s="20" t="str">
        <f>IF(type1="N/A","N/A",IF(high="",LOOKUP(type1,ulpanel!G25:ulpanel!G28,ulpanel!H25:ulpanel!H28),high))</f>
        <v>N/A</v>
      </c>
      <c r="F30" t="s">
        <v>19</v>
      </c>
      <c r="H30" s="20" t="str">
        <f>IF(type2="N/A","N/A",IF(high="",LOOKUP(type2,ulpanel!G25:ulpanel!G28,ulpanel!H25:ulpanel!H28),high))</f>
        <v>N/A</v>
      </c>
      <c r="I30" t="s">
        <v>19</v>
      </c>
    </row>
    <row r="31" spans="1:8" ht="14.25" thickBot="1" thickTop="1">
      <c r="A31" s="5"/>
      <c r="E31" s="9"/>
      <c r="H31" s="9"/>
    </row>
    <row r="32" spans="1:9" ht="14.25" thickBot="1" thickTop="1">
      <c r="A32" s="5" t="s">
        <v>87</v>
      </c>
      <c r="E32" s="20" t="str">
        <f>IF(type1="N/A","N/A",IF(wide="",LOOKUP(type1,ulpanel!G25:ulpanel!G28,ulpanel!H25:ulpanel!H28),IF(OR(pdrop="",high=""),wide,LOOKUP(type1,ulpanel!G25:ulpanel!G28,ulpanel!H25:ulpanel!H28))))</f>
        <v>N/A</v>
      </c>
      <c r="F32" t="s">
        <v>19</v>
      </c>
      <c r="H32" s="20" t="str">
        <f>IF(type2="N/A","N/A",IF(wide="",LOOKUP(type2,ulpanel!G25:ulpanel!G28,ulpanel!H25:ulpanel!H28),IF(OR(pdrop="",high=""),wide,LOOKUP(type2,ulpanel!G25:ulpanel!G28,ulpanel!H25:ulpanel!H28))))</f>
        <v>N/A</v>
      </c>
      <c r="I32" t="s">
        <v>19</v>
      </c>
    </row>
    <row r="33" ht="14.25" thickBot="1" thickTop="1">
      <c r="E33" s="9"/>
    </row>
    <row r="34" spans="1:8" ht="14.25" thickBot="1" thickTop="1">
      <c r="A34" s="5" t="s">
        <v>96</v>
      </c>
      <c r="E34" s="22" t="e">
        <f>IF(type1="1UL/D",0.059*(INT(high1*10)-1)*(wide1-0.18)*100/high1*wide1,0.024*(INT(high1*20)-1)*(wide1-0.18)*100/(high1*wide1))</f>
        <v>#VALUE!</v>
      </c>
      <c r="H34" s="22" t="str">
        <f>IF(type2="N/A","N/A",IF(type2="1UL/D",0.059*(INT(high2*10)-1)*(wide2-0.18)*100/high2*wide2,0.024*(INT(high2*20)-1)*(wide2-0.18)*100/(high2*wide2)))</f>
        <v>N/A</v>
      </c>
    </row>
    <row r="35" ht="14.25" thickBot="1" thickTop="1"/>
    <row r="36" spans="1:9" ht="14.25" thickBot="1" thickTop="1">
      <c r="A36" s="5" t="s">
        <v>22</v>
      </c>
      <c r="E36" s="21" t="e">
        <f>free1*wide1*high1/100</f>
        <v>#VALUE!</v>
      </c>
      <c r="F36" t="s">
        <v>97</v>
      </c>
      <c r="H36" s="21" t="str">
        <f>IF(type2="N/A","N/A",free2*wide2*high2/100)</f>
        <v>N/A</v>
      </c>
      <c r="I36" t="s">
        <v>97</v>
      </c>
    </row>
    <row r="37" ht="14.25" thickBot="1" thickTop="1"/>
    <row r="38" spans="1:9" ht="14.25" thickBot="1" thickTop="1">
      <c r="A38" s="5" t="s">
        <v>108</v>
      </c>
      <c r="E38" s="22" t="str">
        <f>IF(type1="N/A","N/A",IF(mat="Aluminium",LOOKUP(E22,K11:K16,L11:L16),IF(mat="Stainless steel",LOOKUP(E22,K11:K16,N11:N16),LOOKUP(E22,K11:K16,P11:P16))))</f>
        <v>N/A</v>
      </c>
      <c r="F38" t="s">
        <v>107</v>
      </c>
      <c r="H38" s="22" t="str">
        <f>IF(H22="N/A","N/A",IF(mat="Aluminium",LOOKUP(H22,K11:K16,M11:M16),IF(mat="Stainless steel",LOOKUP(H22,K11:K16,O11:O16),LOOKUP(H22,K11:K16,Q11:Q16))))</f>
        <v>N/A</v>
      </c>
      <c r="I38" t="s">
        <v>107</v>
      </c>
    </row>
    <row r="39" ht="13.5" thickTop="1"/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I13" sqref="I13"/>
    </sheetView>
  </sheetViews>
  <sheetFormatPr defaultColWidth="9.140625" defaultRowHeight="12.75"/>
  <sheetData>
    <row r="1" spans="1:17" ht="12.75">
      <c r="A1" s="52"/>
      <c r="B1" s="59"/>
      <c r="C1" s="59"/>
      <c r="D1" s="52"/>
      <c r="E1" s="52"/>
      <c r="F1" s="52"/>
      <c r="G1" s="60"/>
      <c r="H1" s="59"/>
      <c r="I1" s="52"/>
      <c r="J1" s="61" t="s">
        <v>27</v>
      </c>
      <c r="K1" s="52"/>
      <c r="L1" s="52"/>
      <c r="M1" s="52"/>
      <c r="N1" s="52"/>
      <c r="O1" s="52"/>
      <c r="P1" s="52"/>
      <c r="Q1" s="52"/>
    </row>
    <row r="2" spans="1:17" ht="12.75">
      <c r="A2" s="52"/>
      <c r="B2" s="62"/>
      <c r="C2" s="59"/>
      <c r="D2" s="52"/>
      <c r="E2" s="52"/>
      <c r="F2" s="52"/>
      <c r="G2" s="52"/>
      <c r="H2" s="52"/>
      <c r="I2" s="52"/>
      <c r="J2" s="52"/>
      <c r="K2" s="52" t="s">
        <v>28</v>
      </c>
      <c r="L2" s="52"/>
      <c r="M2" s="52"/>
      <c r="N2" s="52"/>
      <c r="O2" s="52"/>
      <c r="P2" s="52"/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63" t="s">
        <v>29</v>
      </c>
      <c r="L3" s="52" t="s">
        <v>149</v>
      </c>
      <c r="M3" s="63" t="s">
        <v>99</v>
      </c>
      <c r="N3" s="63" t="s">
        <v>100</v>
      </c>
      <c r="O3" s="63" t="s">
        <v>101</v>
      </c>
      <c r="P3" s="63" t="s">
        <v>30</v>
      </c>
      <c r="Q3" s="52" t="s">
        <v>59</v>
      </c>
    </row>
    <row r="4" spans="1:17" ht="12.75">
      <c r="A4" s="64" t="s">
        <v>31</v>
      </c>
      <c r="B4" s="52"/>
      <c r="C4" s="52"/>
      <c r="D4" s="52"/>
      <c r="E4" s="52"/>
      <c r="F4" s="52"/>
      <c r="G4" s="52"/>
      <c r="H4" s="52"/>
      <c r="I4" s="52"/>
      <c r="J4" s="52">
        <v>1</v>
      </c>
      <c r="K4" s="65">
        <f>5.29+IF(other="Yes",1/othercv^2,0)</f>
        <v>5.29</v>
      </c>
      <c r="L4" s="66">
        <f>IF(acc="Bird guard",1,IF(acc="none",1.07,0.94))</f>
        <v>0.94</v>
      </c>
      <c r="M4" s="67">
        <f>L4*(2*$G$11/($G$13*K4))^0.5</f>
        <v>0</v>
      </c>
      <c r="N4" s="67" t="e">
        <f aca="true" t="shared" si="0" ref="N4:N27">$G$10/M4</f>
        <v>#DIV/0!</v>
      </c>
      <c r="O4" s="67" t="e">
        <f>N4/($G$17-0.18-$F$19*(CEILING($G$17/$F$20,1)-1))</f>
        <v>#DIV/0!</v>
      </c>
      <c r="P4" s="52" t="e">
        <f>IF((O4+0.18)/$G$12&gt;=1,CEILING((O4+0.18)/$G$12-1,1),0)</f>
        <v>#DIV/0!</v>
      </c>
      <c r="Q4" s="67" t="e">
        <f aca="true" t="shared" si="1" ref="Q4:Q11">O4+0.18+P4*0.09</f>
        <v>#DIV/0!</v>
      </c>
    </row>
    <row r="5" spans="1:17" ht="12.75">
      <c r="A5" s="64" t="s">
        <v>32</v>
      </c>
      <c r="B5" s="52"/>
      <c r="C5" s="52"/>
      <c r="D5" s="52"/>
      <c r="E5" s="52"/>
      <c r="F5" s="52"/>
      <c r="G5" s="52"/>
      <c r="H5" s="52"/>
      <c r="I5" s="52"/>
      <c r="J5" s="52">
        <v>2</v>
      </c>
      <c r="K5" s="65">
        <f>6.93+IF(other="Yes",1/othercv^2,0)</f>
        <v>6.93</v>
      </c>
      <c r="L5" s="66">
        <f aca="true" t="shared" si="2" ref="L5:L11">IF(acc="Bird guard",1,IF(acc="none",1.07,0.94))</f>
        <v>0.94</v>
      </c>
      <c r="M5" s="67">
        <f aca="true" t="shared" si="3" ref="M5:M27">L5*(2*$G$11/($G$13*K5))^0.5</f>
        <v>0</v>
      </c>
      <c r="N5" s="67" t="e">
        <f t="shared" si="0"/>
        <v>#DIV/0!</v>
      </c>
      <c r="O5" s="67" t="e">
        <f aca="true" t="shared" si="4" ref="O5:O11">N5/($G$17-0.18-$F$19*(CEILING($G$17/$F$20,1)-1))</f>
        <v>#DIV/0!</v>
      </c>
      <c r="P5" s="52" t="e">
        <f aca="true" t="shared" si="5" ref="P5:P27">IF((O5+0.18)/$G$12&gt;=1,CEILING((O5+0.18)/$G$12-1,1),0)</f>
        <v>#DIV/0!</v>
      </c>
      <c r="Q5" s="67" t="e">
        <f t="shared" si="1"/>
        <v>#DIV/0!</v>
      </c>
    </row>
    <row r="6" spans="1:17" ht="12.75">
      <c r="A6" s="64"/>
      <c r="B6" s="52"/>
      <c r="C6" s="52"/>
      <c r="D6" s="52"/>
      <c r="E6" s="52"/>
      <c r="F6" s="52"/>
      <c r="G6" s="52"/>
      <c r="H6" s="52"/>
      <c r="I6" s="52"/>
      <c r="J6" s="52">
        <v>3</v>
      </c>
      <c r="K6" s="65">
        <f>4.29+IF(other="Yes",1/othercv^2,0)</f>
        <v>4.29</v>
      </c>
      <c r="L6" s="66">
        <f t="shared" si="2"/>
        <v>0.94</v>
      </c>
      <c r="M6" s="67">
        <f t="shared" si="3"/>
        <v>0</v>
      </c>
      <c r="N6" s="67" t="e">
        <f t="shared" si="0"/>
        <v>#DIV/0!</v>
      </c>
      <c r="O6" s="67" t="e">
        <f t="shared" si="4"/>
        <v>#DIV/0!</v>
      </c>
      <c r="P6" s="52" t="e">
        <f t="shared" si="5"/>
        <v>#DIV/0!</v>
      </c>
      <c r="Q6" s="67" t="e">
        <f t="shared" si="1"/>
        <v>#DIV/0!</v>
      </c>
    </row>
    <row r="7" spans="1:17" ht="12.75">
      <c r="A7" s="52"/>
      <c r="B7" s="52"/>
      <c r="C7" s="52"/>
      <c r="D7" s="52"/>
      <c r="E7" s="52"/>
      <c r="F7" s="52"/>
      <c r="G7" s="52"/>
      <c r="H7" s="52"/>
      <c r="I7" s="52"/>
      <c r="J7" s="52">
        <v>4</v>
      </c>
      <c r="K7" s="65">
        <f>6.43+IF(other="Yes",1/othercv^2,0)</f>
        <v>6.43</v>
      </c>
      <c r="L7" s="66">
        <f t="shared" si="2"/>
        <v>0.94</v>
      </c>
      <c r="M7" s="67">
        <f t="shared" si="3"/>
        <v>0</v>
      </c>
      <c r="N7" s="67" t="e">
        <f t="shared" si="0"/>
        <v>#DIV/0!</v>
      </c>
      <c r="O7" s="67" t="e">
        <f t="shared" si="4"/>
        <v>#DIV/0!</v>
      </c>
      <c r="P7" s="52" t="e">
        <f t="shared" si="5"/>
        <v>#DIV/0!</v>
      </c>
      <c r="Q7" s="67" t="e">
        <f t="shared" si="1"/>
        <v>#DIV/0!</v>
      </c>
    </row>
    <row r="8" spans="1:17" ht="12.75">
      <c r="A8" s="68" t="s">
        <v>34</v>
      </c>
      <c r="B8" s="52"/>
      <c r="C8" s="52"/>
      <c r="D8" s="52"/>
      <c r="E8" s="52"/>
      <c r="F8" s="52"/>
      <c r="G8" s="52"/>
      <c r="H8" s="52"/>
      <c r="I8" s="52"/>
      <c r="J8" s="52">
        <v>5</v>
      </c>
      <c r="K8" s="65">
        <f>4.53+IF(other="Yes",1/othercv^2,0)</f>
        <v>4.53</v>
      </c>
      <c r="L8" s="66">
        <f t="shared" si="2"/>
        <v>0.94</v>
      </c>
      <c r="M8" s="67">
        <f t="shared" si="3"/>
        <v>0</v>
      </c>
      <c r="N8" s="67" t="e">
        <f t="shared" si="0"/>
        <v>#DIV/0!</v>
      </c>
      <c r="O8" s="67" t="e">
        <f t="shared" si="4"/>
        <v>#DIV/0!</v>
      </c>
      <c r="P8" s="52" t="e">
        <f t="shared" si="5"/>
        <v>#DIV/0!</v>
      </c>
      <c r="Q8" s="67" t="e">
        <f t="shared" si="1"/>
        <v>#DIV/0!</v>
      </c>
    </row>
    <row r="9" spans="1:17" ht="12.75">
      <c r="A9" s="52"/>
      <c r="B9" s="52"/>
      <c r="C9" s="52"/>
      <c r="D9" s="52"/>
      <c r="E9" s="52"/>
      <c r="F9" s="52"/>
      <c r="G9" s="52"/>
      <c r="H9" s="52"/>
      <c r="I9" s="52"/>
      <c r="J9" s="52">
        <v>6</v>
      </c>
      <c r="K9" s="65">
        <f>4.72+IF(other="Yes",1/othercv^2,0)</f>
        <v>4.72</v>
      </c>
      <c r="L9" s="66">
        <f t="shared" si="2"/>
        <v>0.94</v>
      </c>
      <c r="M9" s="67">
        <f t="shared" si="3"/>
        <v>0</v>
      </c>
      <c r="N9" s="67" t="e">
        <f t="shared" si="0"/>
        <v>#DIV/0!</v>
      </c>
      <c r="O9" s="67" t="e">
        <f t="shared" si="4"/>
        <v>#DIV/0!</v>
      </c>
      <c r="P9" s="52" t="e">
        <f t="shared" si="5"/>
        <v>#DIV/0!</v>
      </c>
      <c r="Q9" s="67" t="e">
        <f t="shared" si="1"/>
        <v>#DIV/0!</v>
      </c>
    </row>
    <row r="10" spans="1:17" ht="12.75">
      <c r="A10" s="52" t="s">
        <v>35</v>
      </c>
      <c r="B10" s="52"/>
      <c r="C10" s="52"/>
      <c r="D10" s="52"/>
      <c r="E10" s="52"/>
      <c r="F10" s="52"/>
      <c r="G10" s="69">
        <f>flow</f>
        <v>0</v>
      </c>
      <c r="H10" s="52" t="s">
        <v>18</v>
      </c>
      <c r="I10" s="59"/>
      <c r="J10" s="52">
        <v>7</v>
      </c>
      <c r="K10" s="65">
        <f>3.53+IF(other="Yes",1/othercv^2,0)</f>
        <v>3.53</v>
      </c>
      <c r="L10" s="66">
        <f t="shared" si="2"/>
        <v>0.94</v>
      </c>
      <c r="M10" s="67">
        <f t="shared" si="3"/>
        <v>0</v>
      </c>
      <c r="N10" s="67" t="e">
        <f t="shared" si="0"/>
        <v>#DIV/0!</v>
      </c>
      <c r="O10" s="67" t="e">
        <f t="shared" si="4"/>
        <v>#DIV/0!</v>
      </c>
      <c r="P10" s="52" t="e">
        <f t="shared" si="5"/>
        <v>#DIV/0!</v>
      </c>
      <c r="Q10" s="67" t="e">
        <f t="shared" si="1"/>
        <v>#DIV/0!</v>
      </c>
    </row>
    <row r="11" spans="1:17" ht="12.75">
      <c r="A11" s="52" t="s">
        <v>36</v>
      </c>
      <c r="B11" s="52"/>
      <c r="C11" s="52"/>
      <c r="D11" s="52"/>
      <c r="E11" s="52"/>
      <c r="F11" s="52"/>
      <c r="G11" s="69">
        <f>pdrop</f>
        <v>0</v>
      </c>
      <c r="H11" s="52" t="s">
        <v>17</v>
      </c>
      <c r="I11" s="52"/>
      <c r="J11" s="52">
        <v>8</v>
      </c>
      <c r="K11" s="65">
        <f>4.22+IF(other="Yes",1/othercv^2,0)</f>
        <v>4.22</v>
      </c>
      <c r="L11" s="66">
        <f t="shared" si="2"/>
        <v>0.94</v>
      </c>
      <c r="M11" s="67">
        <f t="shared" si="3"/>
        <v>0</v>
      </c>
      <c r="N11" s="67" t="e">
        <f t="shared" si="0"/>
        <v>#DIV/0!</v>
      </c>
      <c r="O11" s="67" t="e">
        <f t="shared" si="4"/>
        <v>#DIV/0!</v>
      </c>
      <c r="P11" s="52" t="e">
        <f t="shared" si="5"/>
        <v>#DIV/0!</v>
      </c>
      <c r="Q11" s="67" t="e">
        <f t="shared" si="1"/>
        <v>#DIV/0!</v>
      </c>
    </row>
    <row r="12" spans="1:17" ht="12.75">
      <c r="A12" s="52" t="s">
        <v>37</v>
      </c>
      <c r="B12" s="52"/>
      <c r="C12" s="52"/>
      <c r="D12" s="52"/>
      <c r="E12" s="52"/>
      <c r="F12" s="52"/>
      <c r="G12" s="70">
        <f>IF(mull="",1,mull)</f>
        <v>1</v>
      </c>
      <c r="H12" s="52" t="s">
        <v>19</v>
      </c>
      <c r="I12" s="52"/>
      <c r="J12" s="52">
        <v>9</v>
      </c>
      <c r="K12" s="65">
        <f>10.54+IF(other="Yes",1/othercv^2,0)</f>
        <v>10.54</v>
      </c>
      <c r="L12" s="66">
        <f>IF(acc="Bird guard",1,IF(acc="none",1.04,0.96))</f>
        <v>0.96</v>
      </c>
      <c r="M12" s="67">
        <f t="shared" si="3"/>
        <v>0</v>
      </c>
      <c r="N12" s="67" t="e">
        <f t="shared" si="0"/>
        <v>#DIV/0!</v>
      </c>
      <c r="O12" s="67" t="e">
        <f>N12/($G$17-0.18-$G$19*(CEILING($G$17/$G$20,1)-1))</f>
        <v>#DIV/0!</v>
      </c>
      <c r="P12" s="52" t="e">
        <f t="shared" si="5"/>
        <v>#DIV/0!</v>
      </c>
      <c r="Q12" s="67" t="e">
        <f aca="true" t="shared" si="6" ref="Q12:Q19">O12+0.18+P12*0.14</f>
        <v>#DIV/0!</v>
      </c>
    </row>
    <row r="13" spans="1:17" ht="12.75">
      <c r="A13" s="52" t="s">
        <v>38</v>
      </c>
      <c r="B13" s="52"/>
      <c r="C13" s="52"/>
      <c r="D13" s="52"/>
      <c r="E13" s="52"/>
      <c r="F13" s="52"/>
      <c r="G13" s="69">
        <f>IF(dense="",1.2,dense)</f>
        <v>1.2</v>
      </c>
      <c r="H13" s="52" t="s">
        <v>39</v>
      </c>
      <c r="I13" s="52"/>
      <c r="J13" s="52">
        <v>10</v>
      </c>
      <c r="K13" s="65">
        <f>16+IF(other="Yes",1/othercv^2,0)</f>
        <v>16</v>
      </c>
      <c r="L13" s="66">
        <f aca="true" t="shared" si="7" ref="L13:L19">IF(acc="Bird guard",1,IF(acc="none",1.04,0.96))</f>
        <v>0.96</v>
      </c>
      <c r="M13" s="67">
        <f t="shared" si="3"/>
        <v>0</v>
      </c>
      <c r="N13" s="67" t="e">
        <f t="shared" si="0"/>
        <v>#DIV/0!</v>
      </c>
      <c r="O13" s="67" t="e">
        <f aca="true" t="shared" si="8" ref="O13:O19">N13/($G$17-0.18-$G$19*(CEILING($G$17/$G$20,1)-1))</f>
        <v>#DIV/0!</v>
      </c>
      <c r="P13" s="52" t="e">
        <f t="shared" si="5"/>
        <v>#DIV/0!</v>
      </c>
      <c r="Q13" s="67" t="e">
        <f t="shared" si="6"/>
        <v>#DIV/0!</v>
      </c>
    </row>
    <row r="14" spans="1:17" ht="12.75">
      <c r="A14" s="52"/>
      <c r="B14" s="52"/>
      <c r="C14" s="52"/>
      <c r="D14" s="52"/>
      <c r="E14" s="52"/>
      <c r="F14" s="52"/>
      <c r="G14" s="71"/>
      <c r="H14" s="52"/>
      <c r="I14" s="52"/>
      <c r="J14" s="52">
        <v>11</v>
      </c>
      <c r="K14" s="65">
        <f>9.54+IF(other="Yes",1/othercv^2,0)</f>
        <v>9.54</v>
      </c>
      <c r="L14" s="66">
        <f t="shared" si="7"/>
        <v>0.96</v>
      </c>
      <c r="M14" s="67">
        <f t="shared" si="3"/>
        <v>0</v>
      </c>
      <c r="N14" s="67" t="e">
        <f t="shared" si="0"/>
        <v>#DIV/0!</v>
      </c>
      <c r="O14" s="67" t="e">
        <f t="shared" si="8"/>
        <v>#DIV/0!</v>
      </c>
      <c r="P14" s="52" t="e">
        <f t="shared" si="5"/>
        <v>#DIV/0!</v>
      </c>
      <c r="Q14" s="67" t="e">
        <f t="shared" si="6"/>
        <v>#DIV/0!</v>
      </c>
    </row>
    <row r="15" spans="1:17" ht="12.75">
      <c r="A15" s="52"/>
      <c r="B15" s="52"/>
      <c r="C15" s="52"/>
      <c r="D15" s="52"/>
      <c r="E15" s="52"/>
      <c r="F15" s="52"/>
      <c r="G15" s="52"/>
      <c r="H15" s="52"/>
      <c r="I15" s="52"/>
      <c r="J15" s="52">
        <v>12</v>
      </c>
      <c r="K15" s="65">
        <f>15.5+IF(other="Yes",1/othercv^2,0)</f>
        <v>15.5</v>
      </c>
      <c r="L15" s="66">
        <f t="shared" si="7"/>
        <v>0.96</v>
      </c>
      <c r="M15" s="67">
        <f t="shared" si="3"/>
        <v>0</v>
      </c>
      <c r="N15" s="67" t="e">
        <f t="shared" si="0"/>
        <v>#DIV/0!</v>
      </c>
      <c r="O15" s="67" t="e">
        <f t="shared" si="8"/>
        <v>#DIV/0!</v>
      </c>
      <c r="P15" s="52" t="e">
        <f t="shared" si="5"/>
        <v>#DIV/0!</v>
      </c>
      <c r="Q15" s="67" t="e">
        <f t="shared" si="6"/>
        <v>#DIV/0!</v>
      </c>
    </row>
    <row r="16" spans="1:17" ht="12.75">
      <c r="A16" s="52" t="s">
        <v>40</v>
      </c>
      <c r="B16" s="52"/>
      <c r="C16" s="52"/>
      <c r="D16" s="52"/>
      <c r="E16" s="52"/>
      <c r="F16" s="52" t="s">
        <v>41</v>
      </c>
      <c r="G16" s="72" t="str">
        <f>IF(high="","w","h")</f>
        <v>w</v>
      </c>
      <c r="H16" s="68"/>
      <c r="I16" s="52"/>
      <c r="J16" s="52">
        <v>13</v>
      </c>
      <c r="K16" s="65">
        <f>14.79+IF(other="Yes",1/othercv^2,0)</f>
        <v>14.79</v>
      </c>
      <c r="L16" s="66">
        <f t="shared" si="7"/>
        <v>0.96</v>
      </c>
      <c r="M16" s="67">
        <f t="shared" si="3"/>
        <v>0</v>
      </c>
      <c r="N16" s="67" t="e">
        <f t="shared" si="0"/>
        <v>#DIV/0!</v>
      </c>
      <c r="O16" s="67" t="e">
        <f t="shared" si="8"/>
        <v>#DIV/0!</v>
      </c>
      <c r="P16" s="52" t="e">
        <f t="shared" si="5"/>
        <v>#DIV/0!</v>
      </c>
      <c r="Q16" s="67" t="e">
        <f t="shared" si="6"/>
        <v>#DIV/0!</v>
      </c>
    </row>
    <row r="17" spans="1:17" ht="12.75">
      <c r="A17" s="73" t="s">
        <v>42</v>
      </c>
      <c r="B17" s="52"/>
      <c r="C17" s="52"/>
      <c r="D17" s="52"/>
      <c r="E17" s="52"/>
      <c r="F17" s="52" t="s">
        <v>43</v>
      </c>
      <c r="G17" s="72">
        <f>IF(high="",wide,high)</f>
        <v>0</v>
      </c>
      <c r="H17" s="52" t="s">
        <v>19</v>
      </c>
      <c r="I17" s="52"/>
      <c r="J17" s="52">
        <v>14</v>
      </c>
      <c r="K17" s="65">
        <f>16+IF(other="Yes",1/othercv^2,0)</f>
        <v>16</v>
      </c>
      <c r="L17" s="66">
        <f t="shared" si="7"/>
        <v>0.96</v>
      </c>
      <c r="M17" s="67">
        <f t="shared" si="3"/>
        <v>0</v>
      </c>
      <c r="N17" s="67" t="e">
        <f t="shared" si="0"/>
        <v>#DIV/0!</v>
      </c>
      <c r="O17" s="67" t="e">
        <f t="shared" si="8"/>
        <v>#DIV/0!</v>
      </c>
      <c r="P17" s="52" t="e">
        <f t="shared" si="5"/>
        <v>#DIV/0!</v>
      </c>
      <c r="Q17" s="67" t="e">
        <f t="shared" si="6"/>
        <v>#DIV/0!</v>
      </c>
    </row>
    <row r="18" spans="1:17" ht="12.75">
      <c r="A18" s="52"/>
      <c r="B18" s="52"/>
      <c r="C18" s="52"/>
      <c r="D18" s="52"/>
      <c r="E18" s="52"/>
      <c r="F18" s="74" t="s">
        <v>65</v>
      </c>
      <c r="G18" s="74" t="s">
        <v>66</v>
      </c>
      <c r="H18" s="74" t="s">
        <v>67</v>
      </c>
      <c r="I18" s="52"/>
      <c r="J18" s="52">
        <v>15</v>
      </c>
      <c r="K18" s="65">
        <f>13.79+IF(other="Yes",1/othercv^2,0)</f>
        <v>13.79</v>
      </c>
      <c r="L18" s="66">
        <f t="shared" si="7"/>
        <v>0.96</v>
      </c>
      <c r="M18" s="67">
        <f t="shared" si="3"/>
        <v>0</v>
      </c>
      <c r="N18" s="67" t="e">
        <f t="shared" si="0"/>
        <v>#DIV/0!</v>
      </c>
      <c r="O18" s="67" t="e">
        <f t="shared" si="8"/>
        <v>#DIV/0!</v>
      </c>
      <c r="P18" s="52" t="e">
        <f t="shared" si="5"/>
        <v>#DIV/0!</v>
      </c>
      <c r="Q18" s="67" t="e">
        <f t="shared" si="6"/>
        <v>#DIV/0!</v>
      </c>
    </row>
    <row r="19" spans="1:17" ht="12.75">
      <c r="A19" s="52" t="s">
        <v>44</v>
      </c>
      <c r="B19" s="52"/>
      <c r="C19" s="52"/>
      <c r="D19" s="52"/>
      <c r="E19" s="52"/>
      <c r="F19" s="71">
        <f>IF(thick="",0.1,thick)</f>
        <v>0.1</v>
      </c>
      <c r="G19" s="71">
        <f>IF(thick="",0.1,thick)</f>
        <v>0.1</v>
      </c>
      <c r="H19" s="71">
        <f>IF(thick="",0.1,thick)</f>
        <v>0.1</v>
      </c>
      <c r="I19" s="52" t="s">
        <v>19</v>
      </c>
      <c r="J19" s="52">
        <v>16</v>
      </c>
      <c r="K19" s="65">
        <f>15.5+IF(other="Yes",1/othercv^2,0)</f>
        <v>15.5</v>
      </c>
      <c r="L19" s="66">
        <f t="shared" si="7"/>
        <v>0.96</v>
      </c>
      <c r="M19" s="67">
        <f t="shared" si="3"/>
        <v>0</v>
      </c>
      <c r="N19" s="67" t="e">
        <f t="shared" si="0"/>
        <v>#DIV/0!</v>
      </c>
      <c r="O19" s="67" t="e">
        <f t="shared" si="8"/>
        <v>#DIV/0!</v>
      </c>
      <c r="P19" s="52" t="e">
        <f t="shared" si="5"/>
        <v>#DIV/0!</v>
      </c>
      <c r="Q19" s="67" t="e">
        <f t="shared" si="6"/>
        <v>#DIV/0!</v>
      </c>
    </row>
    <row r="20" spans="1:17" ht="12.75">
      <c r="A20" s="52" t="s">
        <v>69</v>
      </c>
      <c r="B20" s="52"/>
      <c r="C20" s="52"/>
      <c r="D20" s="52"/>
      <c r="E20" s="52"/>
      <c r="F20" s="71">
        <f>IF(space1="",1.25,space1)</f>
        <v>1.25</v>
      </c>
      <c r="G20" s="75">
        <f>IF(space2="",2,space2)</f>
        <v>2</v>
      </c>
      <c r="H20" s="71">
        <f>IF(space3="",3.2,space3)</f>
        <v>3.2</v>
      </c>
      <c r="I20" s="52" t="s">
        <v>19</v>
      </c>
      <c r="J20" s="52">
        <v>17</v>
      </c>
      <c r="K20" s="65">
        <f>13.03+IF(other="Yes",1/othercv^2,0)</f>
        <v>13.03</v>
      </c>
      <c r="L20" s="66">
        <f>IF(acc="Bird guard",1,IF(acc="none",1.03,0.97))</f>
        <v>0.97</v>
      </c>
      <c r="M20" s="67">
        <f t="shared" si="3"/>
        <v>0</v>
      </c>
      <c r="N20" s="67" t="e">
        <f t="shared" si="0"/>
        <v>#DIV/0!</v>
      </c>
      <c r="O20" s="67" t="e">
        <f>N20/($G$17-0.18-$H$19*(CEILING($G$17/$H$20,1)-1))</f>
        <v>#DIV/0!</v>
      </c>
      <c r="P20" s="52" t="e">
        <f t="shared" si="5"/>
        <v>#DIV/0!</v>
      </c>
      <c r="Q20" s="67" t="e">
        <f aca="true" t="shared" si="9" ref="Q20:Q27">O20+0.18+P20*0.18</f>
        <v>#DIV/0!</v>
      </c>
    </row>
    <row r="21" spans="1:17" ht="12.75">
      <c r="A21" s="68" t="s">
        <v>27</v>
      </c>
      <c r="B21" s="52"/>
      <c r="C21" s="52"/>
      <c r="D21" s="52"/>
      <c r="E21" s="52"/>
      <c r="F21" s="52"/>
      <c r="G21" s="52"/>
      <c r="H21" s="52"/>
      <c r="I21" s="52"/>
      <c r="J21" s="52">
        <v>18</v>
      </c>
      <c r="K21" s="65">
        <f>20.66+IF(other="Yes",1/othercv^2,0)</f>
        <v>20.66</v>
      </c>
      <c r="L21" s="66">
        <f aca="true" t="shared" si="10" ref="L21:L27">IF(acc="Bird guard",1,IF(acc="none",1.03,0.97))</f>
        <v>0.97</v>
      </c>
      <c r="M21" s="67">
        <f t="shared" si="3"/>
        <v>0</v>
      </c>
      <c r="N21" s="67" t="e">
        <f t="shared" si="0"/>
        <v>#DIV/0!</v>
      </c>
      <c r="O21" s="67" t="e">
        <f aca="true" t="shared" si="11" ref="O21:O27">N21/($G$17-0.18-$H$19*(CEILING($G$17/$H$20,1)-1))</f>
        <v>#DIV/0!</v>
      </c>
      <c r="P21" s="52" t="e">
        <f t="shared" si="5"/>
        <v>#DIV/0!</v>
      </c>
      <c r="Q21" s="67" t="e">
        <f t="shared" si="9"/>
        <v>#DIV/0!</v>
      </c>
    </row>
    <row r="22" spans="1:17" ht="12.75">
      <c r="A22" s="52"/>
      <c r="B22" s="52"/>
      <c r="C22" s="52"/>
      <c r="D22" s="52" t="s">
        <v>45</v>
      </c>
      <c r="E22" s="52" t="s">
        <v>46</v>
      </c>
      <c r="F22" s="52"/>
      <c r="G22" s="74" t="s">
        <v>89</v>
      </c>
      <c r="H22" s="52"/>
      <c r="I22" s="76" t="s">
        <v>99</v>
      </c>
      <c r="J22" s="52">
        <v>19</v>
      </c>
      <c r="K22" s="65">
        <f>12.03+IF(other="Yes",1/othercv^2,0)</f>
        <v>12.03</v>
      </c>
      <c r="L22" s="66">
        <f t="shared" si="10"/>
        <v>0.97</v>
      </c>
      <c r="M22" s="67">
        <f t="shared" si="3"/>
        <v>0</v>
      </c>
      <c r="N22" s="67" t="e">
        <f t="shared" si="0"/>
        <v>#DIV/0!</v>
      </c>
      <c r="O22" s="67" t="e">
        <f t="shared" si="11"/>
        <v>#DIV/0!</v>
      </c>
      <c r="P22" s="52" t="e">
        <f t="shared" si="5"/>
        <v>#DIV/0!</v>
      </c>
      <c r="Q22" s="67" t="e">
        <f t="shared" si="9"/>
        <v>#DIV/0!</v>
      </c>
    </row>
    <row r="23" spans="1:17" ht="13.5" thickBot="1">
      <c r="A23" s="52"/>
      <c r="B23" s="52"/>
      <c r="C23" s="52"/>
      <c r="D23" s="52"/>
      <c r="E23" s="52"/>
      <c r="F23" s="52"/>
      <c r="G23" s="52"/>
      <c r="H23" s="52"/>
      <c r="I23" s="52"/>
      <c r="J23" s="52">
        <v>20</v>
      </c>
      <c r="K23" s="65">
        <f>20.16+IF(other="Yes",1/othercv^2,0)</f>
        <v>20.16</v>
      </c>
      <c r="L23" s="66">
        <f t="shared" si="10"/>
        <v>0.97</v>
      </c>
      <c r="M23" s="67">
        <f t="shared" si="3"/>
        <v>0</v>
      </c>
      <c r="N23" s="67" t="e">
        <f t="shared" si="0"/>
        <v>#DIV/0!</v>
      </c>
      <c r="O23" s="67" t="e">
        <f t="shared" si="11"/>
        <v>#DIV/0!</v>
      </c>
      <c r="P23" s="52" t="e">
        <f t="shared" si="5"/>
        <v>#DIV/0!</v>
      </c>
      <c r="Q23" s="67" t="e">
        <f t="shared" si="9"/>
        <v>#DIV/0!</v>
      </c>
    </row>
    <row r="24" spans="1:17" ht="12.75">
      <c r="A24" s="77" t="s">
        <v>47</v>
      </c>
      <c r="B24" s="67"/>
      <c r="C24" s="63" t="s">
        <v>84</v>
      </c>
      <c r="D24" s="67">
        <f>IF($G$16="w",$G$17,IF(conn="No connection",VLOOKUP(1,httable,8),VLOOKUP(3,httable,8)))</f>
        <v>0</v>
      </c>
      <c r="E24" s="67" t="e">
        <f>IF($G$16="h",$G$17,IF(conn="No connection",VLOOKUP(1,witable,5),VLOOKUP(3,witable,5)))</f>
        <v>#DIV/0!</v>
      </c>
      <c r="F24" s="52"/>
      <c r="G24" s="78" t="s">
        <v>91</v>
      </c>
      <c r="H24" s="79" t="e">
        <f>IF($G$16="h",IF(dir="Inlet",$D$26,$D$27),IF(dir="Inlet",$E$26,$E$27))</f>
        <v>#DIV/0!</v>
      </c>
      <c r="I24" s="67">
        <f>IF(conn="No connection",IF(dir="Inlet",M8,M9),IF(dir="Inlet",M10,M11))</f>
        <v>0</v>
      </c>
      <c r="J24" s="52">
        <v>21</v>
      </c>
      <c r="K24" s="65">
        <f>16+IF(other="Yes",1/othercv^2,0)</f>
        <v>16</v>
      </c>
      <c r="L24" s="66">
        <f t="shared" si="10"/>
        <v>0.97</v>
      </c>
      <c r="M24" s="67">
        <f t="shared" si="3"/>
        <v>0</v>
      </c>
      <c r="N24" s="67" t="e">
        <f t="shared" si="0"/>
        <v>#DIV/0!</v>
      </c>
      <c r="O24" s="67" t="e">
        <f t="shared" si="11"/>
        <v>#DIV/0!</v>
      </c>
      <c r="P24" s="52" t="e">
        <f t="shared" si="5"/>
        <v>#DIV/0!</v>
      </c>
      <c r="Q24" s="67" t="e">
        <f t="shared" si="9"/>
        <v>#DIV/0!</v>
      </c>
    </row>
    <row r="25" spans="1:17" ht="12.75">
      <c r="A25" s="52"/>
      <c r="B25" s="52"/>
      <c r="C25" s="63" t="s">
        <v>85</v>
      </c>
      <c r="D25" s="67">
        <f>IF($G$16="w",$G$17,IF(conn="No connection",VLOOKUP(2,httable,8),VLOOKUP(4,httable,8)))</f>
        <v>0</v>
      </c>
      <c r="E25" s="67" t="e">
        <f>IF($G$16="h",$G$17,IF(conn="No connection",VLOOKUP(2,witable,5),VLOOKUP(4,witable,5)))</f>
        <v>#DIV/0!</v>
      </c>
      <c r="F25" s="52"/>
      <c r="G25" s="78" t="s">
        <v>90</v>
      </c>
      <c r="H25" s="80" t="e">
        <f>IF($G$16="h",IF(dir="Inlet",$D$24,$D$25),IF(dir="Inlet",$E$24,$E$25))</f>
        <v>#DIV/0!</v>
      </c>
      <c r="I25" s="67">
        <f>IF(conn="No connection",IF(dir="Inlet",M4,M5),IF(dir="Inlet",M6,M7))</f>
        <v>0</v>
      </c>
      <c r="J25" s="52">
        <v>22</v>
      </c>
      <c r="K25" s="65">
        <f>20.66+IF(other="Yes",1/othercv^2,0)</f>
        <v>20.66</v>
      </c>
      <c r="L25" s="66">
        <f t="shared" si="10"/>
        <v>0.97</v>
      </c>
      <c r="M25" s="67">
        <f t="shared" si="3"/>
        <v>0</v>
      </c>
      <c r="N25" s="67" t="e">
        <f t="shared" si="0"/>
        <v>#DIV/0!</v>
      </c>
      <c r="O25" s="67" t="e">
        <f t="shared" si="11"/>
        <v>#DIV/0!</v>
      </c>
      <c r="P25" s="52" t="e">
        <f t="shared" si="5"/>
        <v>#DIV/0!</v>
      </c>
      <c r="Q25" s="67" t="e">
        <f t="shared" si="9"/>
        <v>#DIV/0!</v>
      </c>
    </row>
    <row r="26" spans="1:17" ht="12.75">
      <c r="A26" s="77" t="s">
        <v>48</v>
      </c>
      <c r="B26" s="52"/>
      <c r="C26" s="63" t="s">
        <v>84</v>
      </c>
      <c r="D26" s="67">
        <f>IF($G$16="w",$G$17,IF(conn="No connection",VLOOKUP(5,httable,8),VLOOKUP(7,httable,8)))</f>
        <v>0</v>
      </c>
      <c r="E26" s="67" t="e">
        <f>IF($G$16="h",$G$17,IF(conn="No connection",VLOOKUP(5,witable,5),VLOOKUP(7,witable,5)))</f>
        <v>#DIV/0!</v>
      </c>
      <c r="F26" s="52"/>
      <c r="G26" s="78" t="s">
        <v>95</v>
      </c>
      <c r="H26" s="80" t="e">
        <f>IF($G$16="h",IF(dir="Inlet",$D$30,$D$31),IF(dir="Inlet",$E$30,$E$31))</f>
        <v>#DIV/0!</v>
      </c>
      <c r="I26" s="67">
        <f>IF(conn="No connection",IF(dir="Inlet",M16,M17),IF(dir="Inlet",M18,M19))</f>
        <v>0</v>
      </c>
      <c r="J26" s="52">
        <v>23</v>
      </c>
      <c r="K26" s="65">
        <f>15+IF(other="Yes",1/othercv^2,0)</f>
        <v>15</v>
      </c>
      <c r="L26" s="66">
        <f t="shared" si="10"/>
        <v>0.97</v>
      </c>
      <c r="M26" s="67">
        <f t="shared" si="3"/>
        <v>0</v>
      </c>
      <c r="N26" s="67" t="e">
        <f t="shared" si="0"/>
        <v>#DIV/0!</v>
      </c>
      <c r="O26" s="67" t="e">
        <f t="shared" si="11"/>
        <v>#DIV/0!</v>
      </c>
      <c r="P26" s="52" t="e">
        <f t="shared" si="5"/>
        <v>#DIV/0!</v>
      </c>
      <c r="Q26" s="67" t="e">
        <f t="shared" si="9"/>
        <v>#DIV/0!</v>
      </c>
    </row>
    <row r="27" spans="1:17" ht="12.75">
      <c r="A27" s="52"/>
      <c r="B27" s="52"/>
      <c r="C27" s="63" t="s">
        <v>85</v>
      </c>
      <c r="D27" s="67">
        <f>IF($G$16="w",$G$17,IF(conn="No connection",VLOOKUP(6,httable,8),VLOOKUP(8,httable,8)))</f>
        <v>0</v>
      </c>
      <c r="E27" s="67" t="e">
        <f>IF($G$16="h",$G$17,IF(conn="No connection",VLOOKUP(6,witable,5),VLOOKUP(8,witable,5)))</f>
        <v>#DIV/0!</v>
      </c>
      <c r="F27" s="52"/>
      <c r="G27" s="78" t="s">
        <v>92</v>
      </c>
      <c r="H27" s="80" t="e">
        <f>IF($G$16="h",IF(dir="Inlet",$D$28,$D$29),IF(dir="Inlet",$E$28,$E$29))</f>
        <v>#DIV/0!</v>
      </c>
      <c r="I27" s="67">
        <f>IF(conn="No connection",IF(dir="Inlet",M12,M13),IF(dir="Inlet",M14,M15))</f>
        <v>0</v>
      </c>
      <c r="J27" s="52">
        <v>24</v>
      </c>
      <c r="K27" s="65">
        <f>20.16+IF(other="Yes",1/othercv^2,0)</f>
        <v>20.16</v>
      </c>
      <c r="L27" s="66">
        <f t="shared" si="10"/>
        <v>0.97</v>
      </c>
      <c r="M27" s="67">
        <f t="shared" si="3"/>
        <v>0</v>
      </c>
      <c r="N27" s="67" t="e">
        <f t="shared" si="0"/>
        <v>#DIV/0!</v>
      </c>
      <c r="O27" s="67" t="e">
        <f t="shared" si="11"/>
        <v>#DIV/0!</v>
      </c>
      <c r="P27" s="52" t="e">
        <f t="shared" si="5"/>
        <v>#DIV/0!</v>
      </c>
      <c r="Q27" s="67" t="e">
        <f t="shared" si="9"/>
        <v>#DIV/0!</v>
      </c>
    </row>
    <row r="28" spans="1:17" ht="12.75">
      <c r="A28" s="77" t="s">
        <v>51</v>
      </c>
      <c r="B28" s="52"/>
      <c r="C28" s="63" t="s">
        <v>84</v>
      </c>
      <c r="D28" s="67">
        <f>IF($G$16="w",$G$17,IF(conn="No connection",VLOOKUP(9,httable,8),VLOOKUP(11,httable,8)))</f>
        <v>0</v>
      </c>
      <c r="E28" s="67" t="e">
        <f>IF($G$16="h",$G$17,IF(conn="No connection",VLOOKUP(9,witable,5),VLOOKUP(11,witable,5)))</f>
        <v>#DIV/0!</v>
      </c>
      <c r="F28" s="52"/>
      <c r="G28" s="78" t="s">
        <v>94</v>
      </c>
      <c r="H28" s="80" t="e">
        <f>IF($G$16="h",IF(dir="Inlet",$D$34,$D$35),IF(dir="Inlet",$E$34,$E$35))</f>
        <v>#DIV/0!</v>
      </c>
      <c r="I28" s="67">
        <f>IF(conn="No connection",IF(dir="Inlet",M24,M25),IF(dir="Inlet",M26,M27))</f>
        <v>0</v>
      </c>
      <c r="J28" s="52"/>
      <c r="K28" s="52" t="s">
        <v>49</v>
      </c>
      <c r="L28" s="52"/>
      <c r="M28" s="52"/>
      <c r="N28" s="52"/>
      <c r="O28" s="52"/>
      <c r="P28" s="52"/>
      <c r="Q28" s="52"/>
    </row>
    <row r="29" spans="1:17" ht="13.5" thickBot="1">
      <c r="A29" s="52"/>
      <c r="B29" s="52"/>
      <c r="C29" s="63" t="s">
        <v>85</v>
      </c>
      <c r="D29" s="67">
        <f>IF($G$16="w",$G$17,IF(conn="No connection",VLOOKUP(10,httable,8),VLOOKUP(12,httable,8)))</f>
        <v>0</v>
      </c>
      <c r="E29" s="67" t="e">
        <f>IF($G$16="h",$G$17,IF(conn="No connection",VLOOKUP(10,witable,5),VLOOKUP(12,witable,5)))</f>
        <v>#DIV/0!</v>
      </c>
      <c r="F29" s="52"/>
      <c r="G29" s="78" t="s">
        <v>93</v>
      </c>
      <c r="H29" s="81" t="e">
        <f>IF($G$16="h",IF(dir="Inlet",$D$32,$D$33),IF(dir="Inlet",$E$32,$E$33))</f>
        <v>#DIV/0!</v>
      </c>
      <c r="I29" s="67">
        <f>IF(conn="No connection",IF(dir="Inlet",M20,M21),IF(dir="Inlet",M22,M23))</f>
        <v>0</v>
      </c>
      <c r="J29" s="52"/>
      <c r="K29" s="63" t="s">
        <v>30</v>
      </c>
      <c r="L29" s="63" t="s">
        <v>101</v>
      </c>
      <c r="M29" s="63" t="s">
        <v>102</v>
      </c>
      <c r="N29" s="63" t="s">
        <v>50</v>
      </c>
      <c r="O29" s="52"/>
      <c r="P29" s="52"/>
      <c r="Q29" s="52"/>
    </row>
    <row r="30" spans="1:17" ht="12.75">
      <c r="A30" s="77" t="s">
        <v>52</v>
      </c>
      <c r="B30" s="52"/>
      <c r="C30" s="63" t="s">
        <v>86</v>
      </c>
      <c r="D30" s="67">
        <f>IF($G$16="w",$G$17,IF(conn="No connection",VLOOKUP(13,httable,8),VLOOKUP(15,httable,8)))</f>
        <v>0</v>
      </c>
      <c r="E30" s="67" t="e">
        <f>IF($G$16="h",$G$17,IF(conn="No connection",VLOOKUP(13,witable,5),VLOOKUP(15,witable,5)))</f>
        <v>#DIV/0!</v>
      </c>
      <c r="F30" s="52"/>
      <c r="G30" s="52"/>
      <c r="H30" s="67"/>
      <c r="I30" s="67"/>
      <c r="J30" s="52">
        <v>1</v>
      </c>
      <c r="K30" s="63">
        <f>IF($G$17/$G$12&gt;=1,CEILING($G$17/$G$12-1,1),0)</f>
        <v>0</v>
      </c>
      <c r="L30" s="82">
        <f aca="true" t="shared" si="12" ref="L30:L37">$G$17-0.18-K30*0.09</f>
        <v>-0.18</v>
      </c>
      <c r="M30" s="82" t="e">
        <f aca="true" t="shared" si="13" ref="M30:M53">N4/L30</f>
        <v>#DIV/0!</v>
      </c>
      <c r="N30" s="82" t="e">
        <f>M30+0.18+$F$19*(CEILING(M30/$F$20,1)-1)</f>
        <v>#DIV/0!</v>
      </c>
      <c r="O30" s="52"/>
      <c r="P30" s="52"/>
      <c r="Q30" s="52"/>
    </row>
    <row r="31" spans="1:17" ht="12.75">
      <c r="A31" s="52"/>
      <c r="B31" s="52"/>
      <c r="C31" s="63" t="s">
        <v>85</v>
      </c>
      <c r="D31" s="67">
        <f>IF($G$16="w",$G$17,IF(conn="No connection",VLOOKUP(14,httable,8),VLOOKUP(16,httable,8)))</f>
        <v>0</v>
      </c>
      <c r="E31" s="67" t="e">
        <f>IF($G$16="h",$G$17,IF(conn="No connection",VLOOKUP(14,witable,5),VLOOKUP(16,witable,5)))</f>
        <v>#DIV/0!</v>
      </c>
      <c r="F31" s="52"/>
      <c r="G31" s="82"/>
      <c r="H31" s="67"/>
      <c r="I31" s="67"/>
      <c r="J31" s="52">
        <v>2</v>
      </c>
      <c r="K31" s="63">
        <f aca="true" t="shared" si="14" ref="K31:K53">IF($G$17/$G$12&gt;=1,CEILING($G$17/$G$12-1,1),0)</f>
        <v>0</v>
      </c>
      <c r="L31" s="82">
        <f t="shared" si="12"/>
        <v>-0.18</v>
      </c>
      <c r="M31" s="82" t="e">
        <f t="shared" si="13"/>
        <v>#DIV/0!</v>
      </c>
      <c r="N31" s="82" t="e">
        <f aca="true" t="shared" si="15" ref="N31:N37">M31+0.18+$F$19*(CEILING(M31/$F$20,1)-1)</f>
        <v>#DIV/0!</v>
      </c>
      <c r="O31" s="52"/>
      <c r="P31" s="52"/>
      <c r="Q31" s="52"/>
    </row>
    <row r="32" spans="1:17" ht="12.75">
      <c r="A32" s="77" t="s">
        <v>53</v>
      </c>
      <c r="B32" s="52"/>
      <c r="C32" s="83" t="s">
        <v>86</v>
      </c>
      <c r="D32" s="67">
        <f>IF($G$16="w",$G$17,IF(conn="No connection",VLOOKUP(17,httable,8),VLOOKUP(19,httable,8)))</f>
        <v>0</v>
      </c>
      <c r="E32" s="67" t="e">
        <f>IF($G$16="h",$G$17,IF(conn="No connection",VLOOKUP(17,witable,5),VLOOKUP(19,witable,5)))</f>
        <v>#DIV/0!</v>
      </c>
      <c r="F32" s="52"/>
      <c r="G32" s="52"/>
      <c r="H32" s="67"/>
      <c r="I32" s="67"/>
      <c r="J32" s="52">
        <v>3</v>
      </c>
      <c r="K32" s="63">
        <f t="shared" si="14"/>
        <v>0</v>
      </c>
      <c r="L32" s="82">
        <f t="shared" si="12"/>
        <v>-0.18</v>
      </c>
      <c r="M32" s="82" t="e">
        <f t="shared" si="13"/>
        <v>#DIV/0!</v>
      </c>
      <c r="N32" s="82" t="e">
        <f t="shared" si="15"/>
        <v>#DIV/0!</v>
      </c>
      <c r="O32" s="52"/>
      <c r="P32" s="52"/>
      <c r="Q32" s="52"/>
    </row>
    <row r="33" spans="1:17" ht="12.75">
      <c r="A33" s="52"/>
      <c r="B33" s="52"/>
      <c r="C33" s="63" t="s">
        <v>85</v>
      </c>
      <c r="D33" s="67">
        <f>IF($G$16="w",$G$17,IF(conn="No connection",VLOOKUP(18,httable,8),VLOOKUP(20,httable,8)))</f>
        <v>0</v>
      </c>
      <c r="E33" s="67" t="e">
        <f>IF($G$16="h",$G$17,IF(conn="No connection",VLOOKUP(18,witable,5),VLOOKUP(20,witable,5)))</f>
        <v>#DIV/0!</v>
      </c>
      <c r="F33" s="52"/>
      <c r="G33" s="82"/>
      <c r="H33" s="67"/>
      <c r="I33" s="67"/>
      <c r="J33" s="52">
        <v>4</v>
      </c>
      <c r="K33" s="63">
        <f t="shared" si="14"/>
        <v>0</v>
      </c>
      <c r="L33" s="82">
        <f t="shared" si="12"/>
        <v>-0.18</v>
      </c>
      <c r="M33" s="82" t="e">
        <f t="shared" si="13"/>
        <v>#DIV/0!</v>
      </c>
      <c r="N33" s="82" t="e">
        <f t="shared" si="15"/>
        <v>#DIV/0!</v>
      </c>
      <c r="O33" s="52"/>
      <c r="P33" s="52"/>
      <c r="Q33" s="52"/>
    </row>
    <row r="34" spans="1:17" ht="12.75">
      <c r="A34" s="77" t="s">
        <v>54</v>
      </c>
      <c r="B34" s="52"/>
      <c r="C34" s="63" t="s">
        <v>86</v>
      </c>
      <c r="D34" s="67">
        <f>IF($G$16="w",$G$17,IF(conn="No connection",VLOOKUP(21,httable,8),VLOOKUP(23,httable,8)))</f>
        <v>0</v>
      </c>
      <c r="E34" s="67" t="e">
        <f>IF($G$16="h",$G$17,IF(conn="No connection",VLOOKUP(21,witable,5),VLOOKUP(23,witable,5)))</f>
        <v>#DIV/0!</v>
      </c>
      <c r="F34" s="52"/>
      <c r="G34" s="52"/>
      <c r="H34" s="67"/>
      <c r="I34" s="67"/>
      <c r="J34" s="52">
        <v>5</v>
      </c>
      <c r="K34" s="63">
        <f t="shared" si="14"/>
        <v>0</v>
      </c>
      <c r="L34" s="82">
        <f t="shared" si="12"/>
        <v>-0.18</v>
      </c>
      <c r="M34" s="82" t="e">
        <f t="shared" si="13"/>
        <v>#DIV/0!</v>
      </c>
      <c r="N34" s="82" t="e">
        <f t="shared" si="15"/>
        <v>#DIV/0!</v>
      </c>
      <c r="O34" s="52"/>
      <c r="P34" s="52"/>
      <c r="Q34" s="52"/>
    </row>
    <row r="35" spans="1:17" ht="12.75">
      <c r="A35" s="52"/>
      <c r="B35" s="52"/>
      <c r="C35" s="63" t="s">
        <v>85</v>
      </c>
      <c r="D35" s="67">
        <f>IF($G$16="w",$G$17,IF(conn="No connection",VLOOKUP(22,httable,8),VLOOKUP(24,httable,8)))</f>
        <v>0</v>
      </c>
      <c r="E35" s="67" t="e">
        <f>IF($G$16="h",$G$17,IF(conn="No connection",VLOOKUP(22,witable,5),VLOOKUP(24,witable,5)))</f>
        <v>#DIV/0!</v>
      </c>
      <c r="F35" s="52"/>
      <c r="G35" s="63"/>
      <c r="H35" s="67"/>
      <c r="I35" s="67"/>
      <c r="J35" s="52">
        <v>6</v>
      </c>
      <c r="K35" s="63">
        <f t="shared" si="14"/>
        <v>0</v>
      </c>
      <c r="L35" s="82">
        <f t="shared" si="12"/>
        <v>-0.18</v>
      </c>
      <c r="M35" s="82" t="e">
        <f t="shared" si="13"/>
        <v>#DIV/0!</v>
      </c>
      <c r="N35" s="82" t="e">
        <f t="shared" si="15"/>
        <v>#DIV/0!</v>
      </c>
      <c r="O35" s="52"/>
      <c r="P35" s="52"/>
      <c r="Q35" s="52"/>
    </row>
    <row r="36" spans="1:17" ht="12.75">
      <c r="A36" s="52"/>
      <c r="B36" s="52"/>
      <c r="C36" s="52"/>
      <c r="D36" s="52"/>
      <c r="E36" s="52"/>
      <c r="F36" s="52"/>
      <c r="G36" s="52"/>
      <c r="H36" s="52"/>
      <c r="I36" s="52"/>
      <c r="J36" s="52">
        <v>7</v>
      </c>
      <c r="K36" s="63">
        <f t="shared" si="14"/>
        <v>0</v>
      </c>
      <c r="L36" s="82">
        <f t="shared" si="12"/>
        <v>-0.18</v>
      </c>
      <c r="M36" s="82" t="e">
        <f t="shared" si="13"/>
        <v>#DIV/0!</v>
      </c>
      <c r="N36" s="82" t="e">
        <f t="shared" si="15"/>
        <v>#DIV/0!</v>
      </c>
      <c r="O36" s="52"/>
      <c r="P36" s="52"/>
      <c r="Q36" s="52"/>
    </row>
    <row r="37" spans="1:17" ht="12.75">
      <c r="A37" s="52"/>
      <c r="B37" s="52"/>
      <c r="C37" s="52"/>
      <c r="D37" s="52"/>
      <c r="E37" s="52"/>
      <c r="F37" s="52"/>
      <c r="G37" s="52"/>
      <c r="H37" s="52"/>
      <c r="I37" s="52"/>
      <c r="J37" s="52">
        <v>8</v>
      </c>
      <c r="K37" s="63">
        <f t="shared" si="14"/>
        <v>0</v>
      </c>
      <c r="L37" s="82">
        <f t="shared" si="12"/>
        <v>-0.18</v>
      </c>
      <c r="M37" s="82" t="e">
        <f t="shared" si="13"/>
        <v>#DIV/0!</v>
      </c>
      <c r="N37" s="82" t="e">
        <f t="shared" si="15"/>
        <v>#DIV/0!</v>
      </c>
      <c r="O37" s="52"/>
      <c r="P37" s="52"/>
      <c r="Q37" s="52"/>
    </row>
    <row r="38" spans="1:17" ht="12.75">
      <c r="A38" s="52"/>
      <c r="B38" s="52"/>
      <c r="C38" s="63"/>
      <c r="D38" s="67"/>
      <c r="E38" s="67"/>
      <c r="F38" s="52"/>
      <c r="G38" s="63"/>
      <c r="H38" s="67"/>
      <c r="I38" s="67"/>
      <c r="J38" s="52">
        <v>9</v>
      </c>
      <c r="K38" s="63">
        <f t="shared" si="14"/>
        <v>0</v>
      </c>
      <c r="L38" s="82">
        <f aca="true" t="shared" si="16" ref="L38:L45">$G$17-0.18-K38*0.14</f>
        <v>-0.18</v>
      </c>
      <c r="M38" s="82" t="e">
        <f t="shared" si="13"/>
        <v>#DIV/0!</v>
      </c>
      <c r="N38" s="82" t="e">
        <f>M38+0.18+$G$19*(CEILING(M38/$G$20,1)-1)</f>
        <v>#DIV/0!</v>
      </c>
      <c r="O38" s="52"/>
      <c r="P38" s="52"/>
      <c r="Q38" s="52"/>
    </row>
    <row r="39" spans="1:17" ht="12.75">
      <c r="A39" s="52"/>
      <c r="B39" s="52"/>
      <c r="C39" s="52"/>
      <c r="D39" s="52"/>
      <c r="E39" s="52"/>
      <c r="F39" s="52"/>
      <c r="G39" s="52"/>
      <c r="H39" s="52"/>
      <c r="I39" s="52"/>
      <c r="J39" s="52">
        <v>10</v>
      </c>
      <c r="K39" s="63">
        <f t="shared" si="14"/>
        <v>0</v>
      </c>
      <c r="L39" s="82">
        <f t="shared" si="16"/>
        <v>-0.18</v>
      </c>
      <c r="M39" s="82" t="e">
        <f t="shared" si="13"/>
        <v>#DIV/0!</v>
      </c>
      <c r="N39" s="82" t="e">
        <f aca="true" t="shared" si="17" ref="N39:N45">M39+0.18+$G$19*(CEILING(M39/$G$20,1)-1)</f>
        <v>#DIV/0!</v>
      </c>
      <c r="O39" s="52"/>
      <c r="P39" s="52"/>
      <c r="Q39" s="52"/>
    </row>
    <row r="40" spans="1:17" ht="12.75">
      <c r="A40" s="52"/>
      <c r="B40" s="52"/>
      <c r="C40" s="52"/>
      <c r="D40" s="52"/>
      <c r="E40" s="52"/>
      <c r="F40" s="52"/>
      <c r="G40" s="52"/>
      <c r="H40" s="52"/>
      <c r="I40" s="52"/>
      <c r="J40" s="52">
        <v>11</v>
      </c>
      <c r="K40" s="63">
        <f t="shared" si="14"/>
        <v>0</v>
      </c>
      <c r="L40" s="82">
        <f t="shared" si="16"/>
        <v>-0.18</v>
      </c>
      <c r="M40" s="82" t="e">
        <f t="shared" si="13"/>
        <v>#DIV/0!</v>
      </c>
      <c r="N40" s="82" t="e">
        <f t="shared" si="17"/>
        <v>#DIV/0!</v>
      </c>
      <c r="O40" s="52"/>
      <c r="P40" s="52"/>
      <c r="Q40" s="52"/>
    </row>
    <row r="41" spans="1:17" ht="12.75">
      <c r="A41" s="52"/>
      <c r="B41" s="52"/>
      <c r="C41" s="52"/>
      <c r="D41" s="52"/>
      <c r="E41" s="52"/>
      <c r="F41" s="52"/>
      <c r="G41" s="52"/>
      <c r="H41" s="52"/>
      <c r="I41" s="52"/>
      <c r="J41" s="52">
        <v>12</v>
      </c>
      <c r="K41" s="63">
        <f t="shared" si="14"/>
        <v>0</v>
      </c>
      <c r="L41" s="82">
        <f t="shared" si="16"/>
        <v>-0.18</v>
      </c>
      <c r="M41" s="82" t="e">
        <f t="shared" si="13"/>
        <v>#DIV/0!</v>
      </c>
      <c r="N41" s="82" t="e">
        <f t="shared" si="17"/>
        <v>#DIV/0!</v>
      </c>
      <c r="O41" s="52"/>
      <c r="P41" s="52"/>
      <c r="Q41" s="52"/>
    </row>
    <row r="42" spans="1:17" ht="12.75">
      <c r="A42" s="68" t="s">
        <v>55</v>
      </c>
      <c r="B42" s="52"/>
      <c r="C42" s="52"/>
      <c r="D42" s="52"/>
      <c r="E42" s="67"/>
      <c r="F42" s="52"/>
      <c r="G42" s="52"/>
      <c r="H42" s="52"/>
      <c r="I42" s="67"/>
      <c r="J42" s="52">
        <v>13</v>
      </c>
      <c r="K42" s="63">
        <f t="shared" si="14"/>
        <v>0</v>
      </c>
      <c r="L42" s="82">
        <f t="shared" si="16"/>
        <v>-0.18</v>
      </c>
      <c r="M42" s="82" t="e">
        <f t="shared" si="13"/>
        <v>#DIV/0!</v>
      </c>
      <c r="N42" s="82" t="e">
        <f t="shared" si="17"/>
        <v>#DIV/0!</v>
      </c>
      <c r="O42" s="52"/>
      <c r="P42" s="52"/>
      <c r="Q42" s="52"/>
    </row>
    <row r="43" spans="1:17" ht="12.75">
      <c r="A43" s="52"/>
      <c r="B43" s="52"/>
      <c r="C43" s="52"/>
      <c r="D43" s="52"/>
      <c r="E43" s="52"/>
      <c r="F43" s="52"/>
      <c r="G43" s="52"/>
      <c r="H43" s="52"/>
      <c r="I43" s="52"/>
      <c r="J43" s="52">
        <v>14</v>
      </c>
      <c r="K43" s="63">
        <f t="shared" si="14"/>
        <v>0</v>
      </c>
      <c r="L43" s="82">
        <f t="shared" si="16"/>
        <v>-0.18</v>
      </c>
      <c r="M43" s="82" t="e">
        <f t="shared" si="13"/>
        <v>#DIV/0!</v>
      </c>
      <c r="N43" s="82" t="e">
        <f t="shared" si="17"/>
        <v>#DIV/0!</v>
      </c>
      <c r="O43" s="52"/>
      <c r="P43" s="52"/>
      <c r="Q43" s="52"/>
    </row>
    <row r="44" spans="1:17" ht="12.75">
      <c r="A44" s="52" t="s">
        <v>56</v>
      </c>
      <c r="B44" s="52"/>
      <c r="C44" s="52"/>
      <c r="D44" s="52"/>
      <c r="E44" s="52"/>
      <c r="F44" s="52"/>
      <c r="G44" s="52"/>
      <c r="H44" s="52"/>
      <c r="I44" s="52"/>
      <c r="J44" s="52">
        <v>15</v>
      </c>
      <c r="K44" s="63">
        <f t="shared" si="14"/>
        <v>0</v>
      </c>
      <c r="L44" s="82">
        <f t="shared" si="16"/>
        <v>-0.18</v>
      </c>
      <c r="M44" s="82" t="e">
        <f t="shared" si="13"/>
        <v>#DIV/0!</v>
      </c>
      <c r="N44" s="82" t="e">
        <f t="shared" si="17"/>
        <v>#DIV/0!</v>
      </c>
      <c r="O44" s="52"/>
      <c r="P44" s="52"/>
      <c r="Q44" s="52"/>
    </row>
    <row r="45" spans="1:17" ht="12.75">
      <c r="A45" s="52"/>
      <c r="B45" s="52"/>
      <c r="C45" s="52"/>
      <c r="D45" s="52"/>
      <c r="E45" s="52"/>
      <c r="F45" s="52"/>
      <c r="G45" s="52"/>
      <c r="H45" s="52"/>
      <c r="I45" s="52"/>
      <c r="J45" s="52">
        <v>16</v>
      </c>
      <c r="K45" s="63">
        <f t="shared" si="14"/>
        <v>0</v>
      </c>
      <c r="L45" s="82">
        <f t="shared" si="16"/>
        <v>-0.18</v>
      </c>
      <c r="M45" s="82" t="e">
        <f t="shared" si="13"/>
        <v>#DIV/0!</v>
      </c>
      <c r="N45" s="82" t="e">
        <f t="shared" si="17"/>
        <v>#DIV/0!</v>
      </c>
      <c r="O45" s="52"/>
      <c r="P45" s="52"/>
      <c r="Q45" s="52"/>
    </row>
    <row r="46" spans="1:17" ht="12.75">
      <c r="A46" s="52"/>
      <c r="B46" s="84" t="s">
        <v>57</v>
      </c>
      <c r="C46" s="84" t="s">
        <v>58</v>
      </c>
      <c r="D46" s="52"/>
      <c r="E46" s="84" t="s">
        <v>57</v>
      </c>
      <c r="F46" s="84" t="s">
        <v>58</v>
      </c>
      <c r="G46" s="52"/>
      <c r="H46" s="84" t="s">
        <v>57</v>
      </c>
      <c r="I46" s="84" t="s">
        <v>58</v>
      </c>
      <c r="J46" s="52">
        <v>17</v>
      </c>
      <c r="K46" s="63">
        <f t="shared" si="14"/>
        <v>0</v>
      </c>
      <c r="L46" s="82">
        <f aca="true" t="shared" si="18" ref="L46:L53">$G$17-0.18-K46*0.18</f>
        <v>-0.18</v>
      </c>
      <c r="M46" s="82" t="e">
        <f t="shared" si="13"/>
        <v>#DIV/0!</v>
      </c>
      <c r="N46" s="82" t="e">
        <f>M46+0.18+$H$19*(CEILING(M46/$H$20,1)-1)</f>
        <v>#DIV/0!</v>
      </c>
      <c r="O46" s="52"/>
      <c r="P46" s="52"/>
      <c r="Q46" s="52"/>
    </row>
    <row r="47" spans="1:17" ht="12.75">
      <c r="A47" s="84" t="s">
        <v>47</v>
      </c>
      <c r="B47" s="65">
        <v>0.435</v>
      </c>
      <c r="C47" s="65">
        <v>0.38</v>
      </c>
      <c r="D47" s="84" t="s">
        <v>51</v>
      </c>
      <c r="E47" s="65">
        <v>0.308</v>
      </c>
      <c r="F47" s="65">
        <v>0.25</v>
      </c>
      <c r="G47" s="84" t="s">
        <v>53</v>
      </c>
      <c r="H47" s="85">
        <v>0.277</v>
      </c>
      <c r="I47" s="65">
        <v>0.22</v>
      </c>
      <c r="J47" s="52">
        <v>18</v>
      </c>
      <c r="K47" s="63">
        <f t="shared" si="14"/>
        <v>0</v>
      </c>
      <c r="L47" s="82">
        <f t="shared" si="18"/>
        <v>-0.18</v>
      </c>
      <c r="M47" s="82" t="e">
        <f t="shared" si="13"/>
        <v>#DIV/0!</v>
      </c>
      <c r="N47" s="82" t="e">
        <f aca="true" t="shared" si="19" ref="N47:N53">M47+0.18+$H$19*(CEILING(M47/$H$20,1)-1)</f>
        <v>#DIV/0!</v>
      </c>
      <c r="O47" s="52"/>
      <c r="P47" s="52"/>
      <c r="Q47" s="52"/>
    </row>
    <row r="48" spans="1:17" ht="12.75">
      <c r="A48" s="84" t="s">
        <v>48</v>
      </c>
      <c r="B48" s="65">
        <v>0.47</v>
      </c>
      <c r="C48" s="65">
        <v>0.46</v>
      </c>
      <c r="D48" s="84" t="s">
        <v>52</v>
      </c>
      <c r="E48" s="65">
        <v>0.26</v>
      </c>
      <c r="F48" s="65">
        <v>0.25</v>
      </c>
      <c r="G48" s="84" t="s">
        <v>54</v>
      </c>
      <c r="H48" s="85">
        <v>0.25</v>
      </c>
      <c r="I48" s="65">
        <v>0.22</v>
      </c>
      <c r="J48" s="52">
        <v>19</v>
      </c>
      <c r="K48" s="63">
        <f t="shared" si="14"/>
        <v>0</v>
      </c>
      <c r="L48" s="82">
        <f t="shared" si="18"/>
        <v>-0.18</v>
      </c>
      <c r="M48" s="82" t="e">
        <f t="shared" si="13"/>
        <v>#DIV/0!</v>
      </c>
      <c r="N48" s="82" t="e">
        <f t="shared" si="19"/>
        <v>#DIV/0!</v>
      </c>
      <c r="O48" s="52"/>
      <c r="P48" s="52"/>
      <c r="Q48" s="52"/>
    </row>
    <row r="49" spans="1:17" ht="12.75">
      <c r="A49" s="52"/>
      <c r="B49" s="52"/>
      <c r="C49" s="52"/>
      <c r="D49" s="63"/>
      <c r="E49" s="52"/>
      <c r="F49" s="52"/>
      <c r="G49" s="52"/>
      <c r="H49" s="52"/>
      <c r="I49" s="52"/>
      <c r="J49" s="52">
        <v>20</v>
      </c>
      <c r="K49" s="63">
        <f t="shared" si="14"/>
        <v>0</v>
      </c>
      <c r="L49" s="82">
        <f t="shared" si="18"/>
        <v>-0.18</v>
      </c>
      <c r="M49" s="82" t="e">
        <f t="shared" si="13"/>
        <v>#DIV/0!</v>
      </c>
      <c r="N49" s="82" t="e">
        <f t="shared" si="19"/>
        <v>#DIV/0!</v>
      </c>
      <c r="O49" s="52"/>
      <c r="P49" s="52"/>
      <c r="Q49" s="52"/>
    </row>
    <row r="50" spans="1:17" ht="12.75">
      <c r="A50" s="86"/>
      <c r="B50" s="52"/>
      <c r="C50" s="52"/>
      <c r="D50" s="52"/>
      <c r="E50" s="52"/>
      <c r="F50" s="52"/>
      <c r="G50" s="52"/>
      <c r="H50" s="52"/>
      <c r="I50" s="52"/>
      <c r="J50" s="52">
        <v>21</v>
      </c>
      <c r="K50" s="63">
        <f t="shared" si="14"/>
        <v>0</v>
      </c>
      <c r="L50" s="82">
        <f t="shared" si="18"/>
        <v>-0.18</v>
      </c>
      <c r="M50" s="82" t="e">
        <f t="shared" si="13"/>
        <v>#DIV/0!</v>
      </c>
      <c r="N50" s="82" t="e">
        <f t="shared" si="19"/>
        <v>#DIV/0!</v>
      </c>
      <c r="O50" s="52"/>
      <c r="P50" s="52"/>
      <c r="Q50" s="52"/>
    </row>
    <row r="51" spans="1:17" ht="12.75">
      <c r="A51" s="86"/>
      <c r="B51" s="52"/>
      <c r="C51" s="52"/>
      <c r="D51" s="52"/>
      <c r="E51" s="52"/>
      <c r="F51" s="52"/>
      <c r="G51" s="52"/>
      <c r="H51" s="52"/>
      <c r="I51" s="52"/>
      <c r="J51" s="52">
        <v>22</v>
      </c>
      <c r="K51" s="63">
        <f t="shared" si="14"/>
        <v>0</v>
      </c>
      <c r="L51" s="82">
        <f t="shared" si="18"/>
        <v>-0.18</v>
      </c>
      <c r="M51" s="82" t="e">
        <f t="shared" si="13"/>
        <v>#DIV/0!</v>
      </c>
      <c r="N51" s="82" t="e">
        <f t="shared" si="19"/>
        <v>#DIV/0!</v>
      </c>
      <c r="O51" s="52"/>
      <c r="P51" s="52"/>
      <c r="Q51" s="52"/>
    </row>
    <row r="52" spans="1:17" ht="12.75">
      <c r="A52" s="52"/>
      <c r="B52" s="52"/>
      <c r="C52" s="52"/>
      <c r="D52" s="52"/>
      <c r="E52" s="52"/>
      <c r="F52" s="52"/>
      <c r="G52" s="52"/>
      <c r="H52" s="52"/>
      <c r="I52" s="52"/>
      <c r="J52" s="52">
        <v>23</v>
      </c>
      <c r="K52" s="63">
        <f t="shared" si="14"/>
        <v>0</v>
      </c>
      <c r="L52" s="82">
        <f t="shared" si="18"/>
        <v>-0.18</v>
      </c>
      <c r="M52" s="82" t="e">
        <f t="shared" si="13"/>
        <v>#DIV/0!</v>
      </c>
      <c r="N52" s="82" t="e">
        <f t="shared" si="19"/>
        <v>#DIV/0!</v>
      </c>
      <c r="O52" s="52"/>
      <c r="P52" s="52"/>
      <c r="Q52" s="52"/>
    </row>
    <row r="53" spans="1:17" ht="12.75">
      <c r="A53" s="86"/>
      <c r="B53" s="52"/>
      <c r="C53" s="52"/>
      <c r="D53" s="52"/>
      <c r="E53" s="52"/>
      <c r="F53" s="52"/>
      <c r="G53" s="52"/>
      <c r="H53" s="52"/>
      <c r="I53" s="52"/>
      <c r="J53" s="52">
        <v>24</v>
      </c>
      <c r="K53" s="63">
        <f t="shared" si="14"/>
        <v>0</v>
      </c>
      <c r="L53" s="82">
        <f t="shared" si="18"/>
        <v>-0.18</v>
      </c>
      <c r="M53" s="82" t="e">
        <f t="shared" si="13"/>
        <v>#DIV/0!</v>
      </c>
      <c r="N53" s="82" t="e">
        <f t="shared" si="19"/>
        <v>#DIV/0!</v>
      </c>
      <c r="O53" s="52"/>
      <c r="P53" s="52"/>
      <c r="Q53" s="52"/>
    </row>
    <row r="54" spans="1:9" ht="12.75">
      <c r="A54" s="15"/>
      <c r="B54" s="15"/>
      <c r="C54" s="15"/>
      <c r="D54" s="15"/>
      <c r="E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7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7"/>
      <c r="B57" s="15"/>
      <c r="C57" s="15"/>
      <c r="D57" s="15"/>
      <c r="E57" s="15"/>
      <c r="F57" s="15"/>
      <c r="G57" s="15"/>
      <c r="H57" s="15"/>
      <c r="I57" s="15"/>
    </row>
    <row r="58" spans="3:9" ht="12.75">
      <c r="C58" s="15"/>
      <c r="D58" s="15"/>
      <c r="E58" s="15"/>
      <c r="F58" s="15"/>
      <c r="G58" s="15"/>
      <c r="H58" s="15"/>
      <c r="I58" s="15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7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7"/>
      <c r="B61" s="15"/>
      <c r="C61" s="15"/>
      <c r="D61" s="15"/>
      <c r="E61" s="15"/>
      <c r="F61" s="15"/>
      <c r="G61" s="15"/>
      <c r="H61" s="15"/>
      <c r="I61" s="15"/>
    </row>
    <row r="62" spans="2:9" ht="12.75">
      <c r="B62" s="15"/>
      <c r="C62" s="15"/>
      <c r="D62" s="15"/>
      <c r="E62" s="15"/>
      <c r="F62" s="15"/>
      <c r="G62" s="15"/>
      <c r="H62" s="15"/>
      <c r="I62" s="15"/>
    </row>
    <row r="63" spans="2:9" ht="12.75"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8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8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8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8"/>
      <c r="B67" s="15"/>
      <c r="C67" s="15"/>
      <c r="D67" s="15"/>
      <c r="E67" s="15"/>
      <c r="F67" s="15"/>
      <c r="G67" s="15"/>
      <c r="H67" s="15"/>
      <c r="I67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H33" sqref="H33"/>
    </sheetView>
  </sheetViews>
  <sheetFormatPr defaultColWidth="9.140625" defaultRowHeight="12.75"/>
  <sheetData>
    <row r="1" spans="1:17" ht="12.75">
      <c r="A1" s="52"/>
      <c r="B1" s="59"/>
      <c r="C1" s="59"/>
      <c r="D1" s="52"/>
      <c r="E1" s="52"/>
      <c r="F1" s="52"/>
      <c r="G1" s="59"/>
      <c r="H1" s="59"/>
      <c r="I1" s="52"/>
      <c r="J1" s="61" t="s">
        <v>27</v>
      </c>
      <c r="K1" s="52"/>
      <c r="L1" s="52"/>
      <c r="M1" s="52"/>
      <c r="N1" s="52"/>
      <c r="O1" s="52"/>
      <c r="P1" s="52"/>
      <c r="Q1" s="52"/>
    </row>
    <row r="2" spans="1:17" ht="12.75">
      <c r="A2" s="52"/>
      <c r="B2" s="62"/>
      <c r="C2" s="59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63" t="s">
        <v>29</v>
      </c>
      <c r="L3" s="52" t="s">
        <v>149</v>
      </c>
      <c r="M3" s="63" t="s">
        <v>30</v>
      </c>
      <c r="N3" s="63" t="s">
        <v>101</v>
      </c>
      <c r="O3" s="63" t="s">
        <v>102</v>
      </c>
      <c r="P3" s="63" t="s">
        <v>100</v>
      </c>
      <c r="Q3" s="52" t="s">
        <v>99</v>
      </c>
    </row>
    <row r="4" spans="1:17" ht="12.75">
      <c r="A4" s="64" t="s">
        <v>31</v>
      </c>
      <c r="B4" s="52"/>
      <c r="C4" s="52"/>
      <c r="D4" s="52"/>
      <c r="E4" s="52"/>
      <c r="F4" s="52"/>
      <c r="G4" s="52"/>
      <c r="H4" s="52"/>
      <c r="I4" s="52"/>
      <c r="J4" s="52">
        <v>1</v>
      </c>
      <c r="K4" s="65">
        <f>5.29+IF(other="Yes",1/othercv^2,0)</f>
        <v>5.29</v>
      </c>
      <c r="L4" s="66">
        <f>IF(acc="Bird guard",1,IF(acc="none",1.07,0.94))</f>
        <v>0.94</v>
      </c>
      <c r="M4" s="52">
        <f>IF(($G$11-0.09)/$G$12&gt;=1,CEILING(($G$11-0.09)/$G$12-1,1),0)</f>
        <v>0</v>
      </c>
      <c r="N4" s="67">
        <f>$G$11-0.18-M4*0.09</f>
        <v>-0.18</v>
      </c>
      <c r="O4" s="67">
        <f aca="true" t="shared" si="0" ref="O4:O11">$G$13-0.18-$F$15*(CEILING($G$13/$F$16,1)-1)</f>
        <v>-0.07999999999999999</v>
      </c>
      <c r="P4" s="67">
        <f>N4*O4</f>
        <v>0.014399999999999998</v>
      </c>
      <c r="Q4" s="67">
        <f>$G$10/P4</f>
        <v>0</v>
      </c>
    </row>
    <row r="5" spans="1:17" ht="12.75">
      <c r="A5" s="64" t="s">
        <v>60</v>
      </c>
      <c r="B5" s="52"/>
      <c r="C5" s="52"/>
      <c r="D5" s="52"/>
      <c r="E5" s="52"/>
      <c r="F5" s="52"/>
      <c r="G5" s="52"/>
      <c r="H5" s="52"/>
      <c r="I5" s="52"/>
      <c r="J5" s="52">
        <v>2</v>
      </c>
      <c r="K5" s="65">
        <f>6.93+IF(other="Yes",1/othercv^2,0)</f>
        <v>6.93</v>
      </c>
      <c r="L5" s="66">
        <f aca="true" t="shared" si="1" ref="L5:L11">IF(acc="Bird guard",1,IF(acc="none",1.07,0.94))</f>
        <v>0.94</v>
      </c>
      <c r="M5" s="52">
        <f aca="true" t="shared" si="2" ref="M5:M11">IF(($G$11-0.09)/$G$12&gt;=1,CEILING(($G$11-0.09)/$G$12-1,1),0)</f>
        <v>0</v>
      </c>
      <c r="N5" s="67">
        <f aca="true" t="shared" si="3" ref="N5:N11">$G$11-0.18-M5*0.09</f>
        <v>-0.18</v>
      </c>
      <c r="O5" s="67">
        <f t="shared" si="0"/>
        <v>-0.07999999999999999</v>
      </c>
      <c r="P5" s="67">
        <f aca="true" t="shared" si="4" ref="P5:P27">N5*O5</f>
        <v>0.014399999999999998</v>
      </c>
      <c r="Q5" s="67">
        <f aca="true" t="shared" si="5" ref="Q5:Q27">$G$10/P5</f>
        <v>0</v>
      </c>
    </row>
    <row r="6" spans="1:17" ht="12.75">
      <c r="A6" s="64" t="s">
        <v>33</v>
      </c>
      <c r="B6" s="52"/>
      <c r="C6" s="52"/>
      <c r="D6" s="52"/>
      <c r="E6" s="52"/>
      <c r="F6" s="52"/>
      <c r="G6" s="52"/>
      <c r="H6" s="52"/>
      <c r="I6" s="52"/>
      <c r="J6" s="52">
        <v>3</v>
      </c>
      <c r="K6" s="65">
        <f>4.29+IF(other="Yes",1/othercv^2,0)</f>
        <v>4.29</v>
      </c>
      <c r="L6" s="66">
        <f t="shared" si="1"/>
        <v>0.94</v>
      </c>
      <c r="M6" s="52">
        <f t="shared" si="2"/>
        <v>0</v>
      </c>
      <c r="N6" s="67">
        <f t="shared" si="3"/>
        <v>-0.18</v>
      </c>
      <c r="O6" s="67">
        <f t="shared" si="0"/>
        <v>-0.07999999999999999</v>
      </c>
      <c r="P6" s="67">
        <f t="shared" si="4"/>
        <v>0.014399999999999998</v>
      </c>
      <c r="Q6" s="67">
        <f t="shared" si="5"/>
        <v>0</v>
      </c>
    </row>
    <row r="7" spans="1:17" ht="12.75">
      <c r="A7" s="52"/>
      <c r="B7" s="52"/>
      <c r="C7" s="52"/>
      <c r="D7" s="52"/>
      <c r="E7" s="52"/>
      <c r="F7" s="52"/>
      <c r="G7" s="59"/>
      <c r="H7" s="52"/>
      <c r="I7" s="52"/>
      <c r="J7" s="52">
        <v>4</v>
      </c>
      <c r="K7" s="65">
        <f>6.43+IF(other="Yes",1/othercv^2,0)</f>
        <v>6.43</v>
      </c>
      <c r="L7" s="66">
        <f t="shared" si="1"/>
        <v>0.94</v>
      </c>
      <c r="M7" s="52">
        <f t="shared" si="2"/>
        <v>0</v>
      </c>
      <c r="N7" s="67">
        <f t="shared" si="3"/>
        <v>-0.18</v>
      </c>
      <c r="O7" s="67">
        <f t="shared" si="0"/>
        <v>-0.07999999999999999</v>
      </c>
      <c r="P7" s="67">
        <f t="shared" si="4"/>
        <v>0.014399999999999998</v>
      </c>
      <c r="Q7" s="67">
        <f t="shared" si="5"/>
        <v>0</v>
      </c>
    </row>
    <row r="8" spans="1:17" ht="12.75">
      <c r="A8" s="68" t="s">
        <v>34</v>
      </c>
      <c r="B8" s="52"/>
      <c r="C8" s="52"/>
      <c r="D8" s="52"/>
      <c r="E8" s="52"/>
      <c r="F8" s="52"/>
      <c r="G8" s="52"/>
      <c r="H8" s="52"/>
      <c r="I8" s="52"/>
      <c r="J8" s="52">
        <v>5</v>
      </c>
      <c r="K8" s="65">
        <f>4.53+IF(other="Yes",1/othercv^2,0)</f>
        <v>4.53</v>
      </c>
      <c r="L8" s="66">
        <f t="shared" si="1"/>
        <v>0.94</v>
      </c>
      <c r="M8" s="52">
        <f t="shared" si="2"/>
        <v>0</v>
      </c>
      <c r="N8" s="67">
        <f t="shared" si="3"/>
        <v>-0.18</v>
      </c>
      <c r="O8" s="67">
        <f t="shared" si="0"/>
        <v>-0.07999999999999999</v>
      </c>
      <c r="P8" s="67">
        <f t="shared" si="4"/>
        <v>0.014399999999999998</v>
      </c>
      <c r="Q8" s="67">
        <f t="shared" si="5"/>
        <v>0</v>
      </c>
    </row>
    <row r="9" spans="1:17" ht="12.75">
      <c r="A9" s="52"/>
      <c r="B9" s="52"/>
      <c r="C9" s="52"/>
      <c r="D9" s="52"/>
      <c r="E9" s="52"/>
      <c r="F9" s="52"/>
      <c r="G9" s="52"/>
      <c r="H9" s="52"/>
      <c r="I9" s="52"/>
      <c r="J9" s="52">
        <v>6</v>
      </c>
      <c r="K9" s="65">
        <f>4.72+IF(other="Yes",1/othercv^2,0)</f>
        <v>4.72</v>
      </c>
      <c r="L9" s="66">
        <f t="shared" si="1"/>
        <v>0.94</v>
      </c>
      <c r="M9" s="52">
        <f t="shared" si="2"/>
        <v>0</v>
      </c>
      <c r="N9" s="67">
        <f t="shared" si="3"/>
        <v>-0.18</v>
      </c>
      <c r="O9" s="67">
        <f t="shared" si="0"/>
        <v>-0.07999999999999999</v>
      </c>
      <c r="P9" s="67">
        <f t="shared" si="4"/>
        <v>0.014399999999999998</v>
      </c>
      <c r="Q9" s="67">
        <f t="shared" si="5"/>
        <v>0</v>
      </c>
    </row>
    <row r="10" spans="1:17" ht="12.75">
      <c r="A10" s="52" t="s">
        <v>35</v>
      </c>
      <c r="B10" s="52"/>
      <c r="C10" s="52"/>
      <c r="D10" s="52"/>
      <c r="E10" s="52"/>
      <c r="F10" s="52"/>
      <c r="G10" s="87">
        <f>flow</f>
        <v>0</v>
      </c>
      <c r="H10" s="52" t="s">
        <v>18</v>
      </c>
      <c r="I10" s="52"/>
      <c r="J10" s="52">
        <v>7</v>
      </c>
      <c r="K10" s="65">
        <f>3.53+IF(other="Yes",1/othercv^2,0)</f>
        <v>3.53</v>
      </c>
      <c r="L10" s="66">
        <f t="shared" si="1"/>
        <v>0.94</v>
      </c>
      <c r="M10" s="52">
        <f t="shared" si="2"/>
        <v>0</v>
      </c>
      <c r="N10" s="67">
        <f t="shared" si="3"/>
        <v>-0.18</v>
      </c>
      <c r="O10" s="67">
        <f t="shared" si="0"/>
        <v>-0.07999999999999999</v>
      </c>
      <c r="P10" s="67">
        <f t="shared" si="4"/>
        <v>0.014399999999999998</v>
      </c>
      <c r="Q10" s="67">
        <f t="shared" si="5"/>
        <v>0</v>
      </c>
    </row>
    <row r="11" spans="1:17" ht="12.75">
      <c r="A11" s="52" t="s">
        <v>61</v>
      </c>
      <c r="B11" s="52"/>
      <c r="C11" s="52"/>
      <c r="D11" s="52"/>
      <c r="E11" s="52"/>
      <c r="F11" s="52"/>
      <c r="G11" s="87">
        <f>wide</f>
        <v>0</v>
      </c>
      <c r="H11" s="52" t="s">
        <v>19</v>
      </c>
      <c r="I11" s="52"/>
      <c r="J11" s="52">
        <v>8</v>
      </c>
      <c r="K11" s="65">
        <f>4.22+IF(other="Yes",1/othercv^2,0)</f>
        <v>4.22</v>
      </c>
      <c r="L11" s="66">
        <f t="shared" si="1"/>
        <v>0.94</v>
      </c>
      <c r="M11" s="52">
        <f t="shared" si="2"/>
        <v>0</v>
      </c>
      <c r="N11" s="67">
        <f t="shared" si="3"/>
        <v>-0.18</v>
      </c>
      <c r="O11" s="67">
        <f t="shared" si="0"/>
        <v>-0.07999999999999999</v>
      </c>
      <c r="P11" s="67">
        <f t="shared" si="4"/>
        <v>0.014399999999999998</v>
      </c>
      <c r="Q11" s="67">
        <f t="shared" si="5"/>
        <v>0</v>
      </c>
    </row>
    <row r="12" spans="1:17" ht="12.75">
      <c r="A12" s="52" t="s">
        <v>37</v>
      </c>
      <c r="B12" s="52"/>
      <c r="C12" s="52"/>
      <c r="D12" s="52"/>
      <c r="E12" s="52"/>
      <c r="F12" s="52"/>
      <c r="G12" s="70">
        <f>IF(mull="",1,mull)</f>
        <v>1</v>
      </c>
      <c r="H12" s="52" t="s">
        <v>19</v>
      </c>
      <c r="I12" s="52"/>
      <c r="J12" s="52">
        <v>9</v>
      </c>
      <c r="K12" s="65">
        <f>10.54+IF(other="Yes",1/othercv^2,0)</f>
        <v>10.54</v>
      </c>
      <c r="L12" s="66">
        <f>IF(acc="Bird guard",1,IF(acc="none",1.04,0.96))</f>
        <v>0.96</v>
      </c>
      <c r="M12" s="52">
        <f>IF(($G$11-0.14)/$G$12&gt;=1,CEILING(($G$11-0.14)/$G$12-1,1),0)</f>
        <v>0</v>
      </c>
      <c r="N12" s="67">
        <f>$G$11-0.18-M12*0.14</f>
        <v>-0.18</v>
      </c>
      <c r="O12" s="67">
        <f aca="true" t="shared" si="6" ref="O12:O19">$G$13-0.18-$G$15*(CEILING($G$13/$G$16,1)-1)</f>
        <v>-0.07999999999999999</v>
      </c>
      <c r="P12" s="67">
        <f t="shared" si="4"/>
        <v>0.014399999999999998</v>
      </c>
      <c r="Q12" s="67">
        <f t="shared" si="5"/>
        <v>0</v>
      </c>
    </row>
    <row r="13" spans="1:17" ht="12.75">
      <c r="A13" s="52" t="s">
        <v>62</v>
      </c>
      <c r="B13" s="52"/>
      <c r="C13" s="52"/>
      <c r="D13" s="52"/>
      <c r="E13" s="52"/>
      <c r="F13" s="52"/>
      <c r="G13" s="88">
        <f>high</f>
        <v>0</v>
      </c>
      <c r="H13" s="52" t="s">
        <v>19</v>
      </c>
      <c r="I13" s="52"/>
      <c r="J13" s="52">
        <v>10</v>
      </c>
      <c r="K13" s="65">
        <f>16+IF(other="Yes",1/othercv^2,0)</f>
        <v>16</v>
      </c>
      <c r="L13" s="66">
        <f aca="true" t="shared" si="7" ref="L13:L19">IF(acc="Bird guard",1,IF(acc="none",1.04,0.96))</f>
        <v>0.96</v>
      </c>
      <c r="M13" s="52">
        <f aca="true" t="shared" si="8" ref="M13:M19">IF(($G$11-0.14)/$G$12&gt;=1,CEILING(($G$11-0.14)/$G$12-1,1),0)</f>
        <v>0</v>
      </c>
      <c r="N13" s="67">
        <f aca="true" t="shared" si="9" ref="N13:N19">$G$11-0.18-M13*0.14</f>
        <v>-0.18</v>
      </c>
      <c r="O13" s="67">
        <f t="shared" si="6"/>
        <v>-0.07999999999999999</v>
      </c>
      <c r="P13" s="67">
        <f t="shared" si="4"/>
        <v>0.014399999999999998</v>
      </c>
      <c r="Q13" s="67">
        <f t="shared" si="5"/>
        <v>0</v>
      </c>
    </row>
    <row r="14" spans="1:17" ht="12.75">
      <c r="A14" s="52"/>
      <c r="B14" s="52"/>
      <c r="C14" s="52"/>
      <c r="D14" s="52"/>
      <c r="E14" s="52"/>
      <c r="F14" s="76" t="s">
        <v>65</v>
      </c>
      <c r="G14" s="76" t="s">
        <v>66</v>
      </c>
      <c r="H14" s="76" t="s">
        <v>67</v>
      </c>
      <c r="I14" s="52"/>
      <c r="J14" s="52">
        <v>11</v>
      </c>
      <c r="K14" s="65">
        <f>9.54+IF(other="Yes",1/othercv^2,0)</f>
        <v>9.54</v>
      </c>
      <c r="L14" s="66">
        <f t="shared" si="7"/>
        <v>0.96</v>
      </c>
      <c r="M14" s="52">
        <f t="shared" si="8"/>
        <v>0</v>
      </c>
      <c r="N14" s="67">
        <f t="shared" si="9"/>
        <v>-0.18</v>
      </c>
      <c r="O14" s="67">
        <f t="shared" si="6"/>
        <v>-0.07999999999999999</v>
      </c>
      <c r="P14" s="67">
        <f t="shared" si="4"/>
        <v>0.014399999999999998</v>
      </c>
      <c r="Q14" s="67">
        <f t="shared" si="5"/>
        <v>0</v>
      </c>
    </row>
    <row r="15" spans="1:17" ht="12.75">
      <c r="A15" s="52" t="s">
        <v>63</v>
      </c>
      <c r="B15" s="52"/>
      <c r="C15" s="52"/>
      <c r="D15" s="52"/>
      <c r="E15" s="52"/>
      <c r="F15" s="89">
        <f>IF(thick="",0.1,thick)</f>
        <v>0.1</v>
      </c>
      <c r="G15" s="89">
        <f>IF(thick="",0.1,thick)</f>
        <v>0.1</v>
      </c>
      <c r="H15" s="89">
        <f>IF(thick="",0.1,thick)</f>
        <v>0.1</v>
      </c>
      <c r="I15" s="52" t="s">
        <v>19</v>
      </c>
      <c r="J15" s="52">
        <v>12</v>
      </c>
      <c r="K15" s="65">
        <f>15.5+IF(other="Yes",1/othercv^2,0)</f>
        <v>15.5</v>
      </c>
      <c r="L15" s="66">
        <f t="shared" si="7"/>
        <v>0.96</v>
      </c>
      <c r="M15" s="52">
        <f t="shared" si="8"/>
        <v>0</v>
      </c>
      <c r="N15" s="67">
        <f t="shared" si="9"/>
        <v>-0.18</v>
      </c>
      <c r="O15" s="67">
        <f t="shared" si="6"/>
        <v>-0.07999999999999999</v>
      </c>
      <c r="P15" s="67">
        <f t="shared" si="4"/>
        <v>0.014399999999999998</v>
      </c>
      <c r="Q15" s="67">
        <f t="shared" si="5"/>
        <v>0</v>
      </c>
    </row>
    <row r="16" spans="1:17" ht="12.75">
      <c r="A16" s="52" t="s">
        <v>70</v>
      </c>
      <c r="B16" s="52"/>
      <c r="C16" s="52"/>
      <c r="D16" s="52"/>
      <c r="E16" s="52"/>
      <c r="F16" s="89">
        <f>IF(space1="",1.25,space1)</f>
        <v>1.25</v>
      </c>
      <c r="G16" s="90">
        <f>IF(space2="",2,space2)</f>
        <v>2</v>
      </c>
      <c r="H16" s="89">
        <f>IF(space3="",3.2,space3)</f>
        <v>3.2</v>
      </c>
      <c r="I16" s="52" t="s">
        <v>19</v>
      </c>
      <c r="J16" s="52">
        <v>13</v>
      </c>
      <c r="K16" s="65">
        <f>14.79+IF(other="Yes",1/othercv^2,0)</f>
        <v>14.79</v>
      </c>
      <c r="L16" s="66">
        <f t="shared" si="7"/>
        <v>0.96</v>
      </c>
      <c r="M16" s="52">
        <f t="shared" si="8"/>
        <v>0</v>
      </c>
      <c r="N16" s="67">
        <f t="shared" si="9"/>
        <v>-0.18</v>
      </c>
      <c r="O16" s="67">
        <f t="shared" si="6"/>
        <v>-0.07999999999999999</v>
      </c>
      <c r="P16" s="67">
        <f t="shared" si="4"/>
        <v>0.014399999999999998</v>
      </c>
      <c r="Q16" s="67">
        <f t="shared" si="5"/>
        <v>0</v>
      </c>
    </row>
    <row r="17" spans="1:17" ht="12.75">
      <c r="A17" s="52" t="s">
        <v>38</v>
      </c>
      <c r="B17" s="52"/>
      <c r="C17" s="52"/>
      <c r="D17" s="52"/>
      <c r="E17" s="52"/>
      <c r="F17" s="52"/>
      <c r="G17" s="91">
        <f>IF(dense="",1.2,dense)</f>
        <v>1.2</v>
      </c>
      <c r="H17" s="52" t="s">
        <v>39</v>
      </c>
      <c r="I17" s="52"/>
      <c r="J17" s="52">
        <v>14</v>
      </c>
      <c r="K17" s="65">
        <f>16+IF(other="Yes",1/othercv^2,0)</f>
        <v>16</v>
      </c>
      <c r="L17" s="66">
        <f t="shared" si="7"/>
        <v>0.96</v>
      </c>
      <c r="M17" s="52">
        <f t="shared" si="8"/>
        <v>0</v>
      </c>
      <c r="N17" s="67">
        <f t="shared" si="9"/>
        <v>-0.18</v>
      </c>
      <c r="O17" s="67">
        <f t="shared" si="6"/>
        <v>-0.07999999999999999</v>
      </c>
      <c r="P17" s="67">
        <f t="shared" si="4"/>
        <v>0.014399999999999998</v>
      </c>
      <c r="Q17" s="67">
        <f t="shared" si="5"/>
        <v>0</v>
      </c>
    </row>
    <row r="18" spans="1:17" ht="12.75">
      <c r="A18" s="52"/>
      <c r="B18" s="52"/>
      <c r="C18" s="52"/>
      <c r="D18" s="52"/>
      <c r="E18" s="52"/>
      <c r="F18" s="52"/>
      <c r="G18" s="92"/>
      <c r="H18" s="52"/>
      <c r="I18" s="52"/>
      <c r="J18" s="52">
        <v>15</v>
      </c>
      <c r="K18" s="65">
        <f>13.79+IF(other="Yes",1/othercv^2,0)</f>
        <v>13.79</v>
      </c>
      <c r="L18" s="66">
        <f t="shared" si="7"/>
        <v>0.96</v>
      </c>
      <c r="M18" s="52">
        <f t="shared" si="8"/>
        <v>0</v>
      </c>
      <c r="N18" s="67">
        <f t="shared" si="9"/>
        <v>-0.18</v>
      </c>
      <c r="O18" s="67">
        <f t="shared" si="6"/>
        <v>-0.07999999999999999</v>
      </c>
      <c r="P18" s="67">
        <f t="shared" si="4"/>
        <v>0.014399999999999998</v>
      </c>
      <c r="Q18" s="67">
        <f t="shared" si="5"/>
        <v>0</v>
      </c>
    </row>
    <row r="19" spans="1:17" ht="12.75">
      <c r="A19" s="52"/>
      <c r="B19" s="52" t="s">
        <v>64</v>
      </c>
      <c r="C19" s="52"/>
      <c r="D19" s="52"/>
      <c r="E19" s="52"/>
      <c r="F19" s="52"/>
      <c r="G19" s="52"/>
      <c r="H19" s="52"/>
      <c r="I19" s="52"/>
      <c r="J19" s="52">
        <v>16</v>
      </c>
      <c r="K19" s="65">
        <f>15.5+IF(other="Yes",1/othercv^2,0)</f>
        <v>15.5</v>
      </c>
      <c r="L19" s="66">
        <f t="shared" si="7"/>
        <v>0.96</v>
      </c>
      <c r="M19" s="52">
        <f t="shared" si="8"/>
        <v>0</v>
      </c>
      <c r="N19" s="67">
        <f t="shared" si="9"/>
        <v>-0.18</v>
      </c>
      <c r="O19" s="67">
        <f t="shared" si="6"/>
        <v>-0.07999999999999999</v>
      </c>
      <c r="P19" s="67">
        <f t="shared" si="4"/>
        <v>0.014399999999999998</v>
      </c>
      <c r="Q19" s="67">
        <f t="shared" si="5"/>
        <v>0</v>
      </c>
    </row>
    <row r="20" spans="1:17" ht="12.75">
      <c r="A20" s="52"/>
      <c r="B20" s="52"/>
      <c r="C20" s="52"/>
      <c r="D20" s="52"/>
      <c r="E20" s="52"/>
      <c r="F20" s="52"/>
      <c r="G20" s="52"/>
      <c r="H20" s="52"/>
      <c r="I20" s="52"/>
      <c r="J20" s="52">
        <v>17</v>
      </c>
      <c r="K20" s="65">
        <f>13.03+IF(other="Yes",1/othercv^2,0)</f>
        <v>13.03</v>
      </c>
      <c r="L20" s="66">
        <f>IF(acc="Bird guard",1,IF(acc="none",1.03,0.97))</f>
        <v>0.97</v>
      </c>
      <c r="M20" s="52">
        <f>IF(($G$11-0.18)/$G$12&gt;=1,CEILING(($G$11-0.18)/$G$12-1,1),0)</f>
        <v>0</v>
      </c>
      <c r="N20" s="67">
        <f>$G$11-0.18-M20*0.18</f>
        <v>-0.18</v>
      </c>
      <c r="O20" s="67">
        <f aca="true" t="shared" si="10" ref="O20:O27">$G$13-0.18-$H$15*(CEILING($G$13/$H$16,1)-1)</f>
        <v>-0.07999999999999999</v>
      </c>
      <c r="P20" s="67">
        <f t="shared" si="4"/>
        <v>0.014399999999999998</v>
      </c>
      <c r="Q20" s="67">
        <f t="shared" si="5"/>
        <v>0</v>
      </c>
    </row>
    <row r="21" spans="1:17" ht="12.75">
      <c r="A21" s="52"/>
      <c r="B21" s="52"/>
      <c r="C21" s="52"/>
      <c r="D21" s="93"/>
      <c r="E21" s="93"/>
      <c r="F21" s="93"/>
      <c r="G21" s="93"/>
      <c r="H21" s="52"/>
      <c r="I21" s="52"/>
      <c r="J21" s="52">
        <v>18</v>
      </c>
      <c r="K21" s="65">
        <f>20.66+IF(other="Yes",1/othercv^2,0)</f>
        <v>20.66</v>
      </c>
      <c r="L21" s="66">
        <f aca="true" t="shared" si="11" ref="L21:L27">IF(acc="Bird guard",1,IF(acc="none",1.03,0.97))</f>
        <v>0.97</v>
      </c>
      <c r="M21" s="52">
        <f aca="true" t="shared" si="12" ref="M21:M27">IF(($G$11-0.18)/$G$12&gt;=1,CEILING(($G$11-0.18)/$G$12-1,1),0)</f>
        <v>0</v>
      </c>
      <c r="N21" s="67">
        <f aca="true" t="shared" si="13" ref="N21:N27">$G$11-0.18-M21*0.18</f>
        <v>-0.18</v>
      </c>
      <c r="O21" s="67">
        <f t="shared" si="10"/>
        <v>-0.07999999999999999</v>
      </c>
      <c r="P21" s="67">
        <f t="shared" si="4"/>
        <v>0.014399999999999998</v>
      </c>
      <c r="Q21" s="67">
        <f t="shared" si="5"/>
        <v>0</v>
      </c>
    </row>
    <row r="22" spans="1:17" ht="12.75">
      <c r="A22" s="68" t="s">
        <v>27</v>
      </c>
      <c r="B22" s="52"/>
      <c r="C22" s="52"/>
      <c r="D22" s="93"/>
      <c r="E22" s="93"/>
      <c r="F22" s="93"/>
      <c r="G22" s="93"/>
      <c r="H22" s="52"/>
      <c r="I22" s="52"/>
      <c r="J22" s="52">
        <v>19</v>
      </c>
      <c r="K22" s="65">
        <f>12.03+IF(other="Yes",1/othercv^2,0)</f>
        <v>12.03</v>
      </c>
      <c r="L22" s="66">
        <f t="shared" si="11"/>
        <v>0.97</v>
      </c>
      <c r="M22" s="52">
        <f t="shared" si="12"/>
        <v>0</v>
      </c>
      <c r="N22" s="67">
        <f t="shared" si="13"/>
        <v>-0.18</v>
      </c>
      <c r="O22" s="67">
        <f t="shared" si="10"/>
        <v>-0.07999999999999999</v>
      </c>
      <c r="P22" s="67">
        <f t="shared" si="4"/>
        <v>0.014399999999999998</v>
      </c>
      <c r="Q22" s="67">
        <f t="shared" si="5"/>
        <v>0</v>
      </c>
    </row>
    <row r="23" spans="1:17" ht="12.75">
      <c r="A23" s="52"/>
      <c r="B23" s="52"/>
      <c r="C23" s="52"/>
      <c r="D23" s="56"/>
      <c r="E23" s="52"/>
      <c r="F23" s="52"/>
      <c r="G23" s="56"/>
      <c r="H23" s="52"/>
      <c r="I23" s="52"/>
      <c r="J23" s="52">
        <v>20</v>
      </c>
      <c r="K23" s="65">
        <f>20.16+IF(other="Yes",1/othercv^2,0)</f>
        <v>20.16</v>
      </c>
      <c r="L23" s="66">
        <f t="shared" si="11"/>
        <v>0.97</v>
      </c>
      <c r="M23" s="52">
        <f t="shared" si="12"/>
        <v>0</v>
      </c>
      <c r="N23" s="67">
        <f t="shared" si="13"/>
        <v>-0.18</v>
      </c>
      <c r="O23" s="67">
        <f t="shared" si="10"/>
        <v>-0.07999999999999999</v>
      </c>
      <c r="P23" s="67">
        <f t="shared" si="4"/>
        <v>0.014399999999999998</v>
      </c>
      <c r="Q23" s="67">
        <f t="shared" si="5"/>
        <v>0</v>
      </c>
    </row>
    <row r="24" spans="1:17" ht="12.75">
      <c r="A24" s="52" t="s">
        <v>68</v>
      </c>
      <c r="B24" s="52"/>
      <c r="C24" s="84" t="s">
        <v>57</v>
      </c>
      <c r="D24" s="84" t="s">
        <v>58</v>
      </c>
      <c r="E24" s="52"/>
      <c r="F24" s="94" t="s">
        <v>89</v>
      </c>
      <c r="G24" s="84"/>
      <c r="H24" s="74" t="s">
        <v>99</v>
      </c>
      <c r="I24" s="52"/>
      <c r="J24" s="52">
        <v>21</v>
      </c>
      <c r="K24" s="65">
        <f>16+IF(other="Yes",1/othercv^2,0)</f>
        <v>16</v>
      </c>
      <c r="L24" s="66">
        <f t="shared" si="11"/>
        <v>0.97</v>
      </c>
      <c r="M24" s="52">
        <f t="shared" si="12"/>
        <v>0</v>
      </c>
      <c r="N24" s="67">
        <f t="shared" si="13"/>
        <v>-0.18</v>
      </c>
      <c r="O24" s="67">
        <f t="shared" si="10"/>
        <v>-0.07999999999999999</v>
      </c>
      <c r="P24" s="67">
        <f t="shared" si="4"/>
        <v>0.014399999999999998</v>
      </c>
      <c r="Q24" s="67">
        <f t="shared" si="5"/>
        <v>0</v>
      </c>
    </row>
    <row r="25" spans="1:17" ht="13.5" thickBot="1">
      <c r="A25" s="52"/>
      <c r="B25" s="52"/>
      <c r="C25" s="52"/>
      <c r="D25" s="52"/>
      <c r="E25" s="52"/>
      <c r="F25" s="52"/>
      <c r="G25" s="52"/>
      <c r="H25" s="52"/>
      <c r="I25" s="52"/>
      <c r="J25" s="52">
        <v>22</v>
      </c>
      <c r="K25" s="65">
        <f>20.66+IF(other="Yes",1/othercv^2,0)</f>
        <v>20.66</v>
      </c>
      <c r="L25" s="66">
        <f t="shared" si="11"/>
        <v>0.97</v>
      </c>
      <c r="M25" s="52">
        <f t="shared" si="12"/>
        <v>0</v>
      </c>
      <c r="N25" s="67">
        <f t="shared" si="13"/>
        <v>-0.18</v>
      </c>
      <c r="O25" s="67">
        <f t="shared" si="10"/>
        <v>-0.07999999999999999</v>
      </c>
      <c r="P25" s="67">
        <f t="shared" si="4"/>
        <v>0.014399999999999998</v>
      </c>
      <c r="Q25" s="67">
        <f t="shared" si="5"/>
        <v>0</v>
      </c>
    </row>
    <row r="26" spans="1:17" ht="12.75">
      <c r="A26" s="52"/>
      <c r="B26" s="78" t="s">
        <v>91</v>
      </c>
      <c r="C26" s="95">
        <f>IF(conn="No connection",0.5*$G$17*$K8*$Q8^2/L8^2,0.5*$G$17*$K10*$Q10^2/L7^2)</f>
        <v>0</v>
      </c>
      <c r="D26" s="95">
        <f>IF(conn="No connection",0.5*$G$17*$K9*$Q9^2/L9^2,0.5*$G$17*$K11*$Q11^2/L11^2)</f>
        <v>0</v>
      </c>
      <c r="E26" s="52" t="s">
        <v>17</v>
      </c>
      <c r="F26" s="96">
        <f aca="true" t="shared" si="14" ref="F26:F31">IF(dir="Inlet",C26,D26)</f>
        <v>0</v>
      </c>
      <c r="G26" s="95" t="s">
        <v>17</v>
      </c>
      <c r="H26" s="93">
        <f>Q4</f>
        <v>0</v>
      </c>
      <c r="I26" s="52"/>
      <c r="J26" s="52">
        <v>23</v>
      </c>
      <c r="K26" s="65">
        <f>15+IF(other="Yes",1/othercv^2,0)</f>
        <v>15</v>
      </c>
      <c r="L26" s="66">
        <f t="shared" si="11"/>
        <v>0.97</v>
      </c>
      <c r="M26" s="52">
        <f t="shared" si="12"/>
        <v>0</v>
      </c>
      <c r="N26" s="67">
        <f t="shared" si="13"/>
        <v>-0.18</v>
      </c>
      <c r="O26" s="67">
        <f t="shared" si="10"/>
        <v>-0.07999999999999999</v>
      </c>
      <c r="P26" s="67">
        <f t="shared" si="4"/>
        <v>0.014399999999999998</v>
      </c>
      <c r="Q26" s="67">
        <f t="shared" si="5"/>
        <v>0</v>
      </c>
    </row>
    <row r="27" spans="1:17" ht="12.75">
      <c r="A27" s="52"/>
      <c r="B27" s="97" t="s">
        <v>90</v>
      </c>
      <c r="C27" s="95">
        <f>IF(conn="No connection",0.5*$G$17*$K4*$Q4^2/L4^2,0.5*$G$17*$K6*$Q6^2/L6^2)</f>
        <v>0</v>
      </c>
      <c r="D27" s="95">
        <f>IF(conn="No connection",0.5*$G$17*$K5*$Q5^2/L5^2,0.5*$G$17*$K7*$Q7^2/L7^2)</f>
        <v>0</v>
      </c>
      <c r="E27" s="52" t="s">
        <v>17</v>
      </c>
      <c r="F27" s="98">
        <f t="shared" si="14"/>
        <v>0</v>
      </c>
      <c r="G27" s="95" t="s">
        <v>17</v>
      </c>
      <c r="H27" s="93">
        <f>Q4</f>
        <v>0</v>
      </c>
      <c r="I27" s="52"/>
      <c r="J27" s="52">
        <v>24</v>
      </c>
      <c r="K27" s="65">
        <f>20.16+IF(other="Yes",1/othercv^2,0)</f>
        <v>20.16</v>
      </c>
      <c r="L27" s="66">
        <f t="shared" si="11"/>
        <v>0.97</v>
      </c>
      <c r="M27" s="52">
        <f t="shared" si="12"/>
        <v>0</v>
      </c>
      <c r="N27" s="67">
        <f t="shared" si="13"/>
        <v>-0.18</v>
      </c>
      <c r="O27" s="67">
        <f t="shared" si="10"/>
        <v>-0.07999999999999999</v>
      </c>
      <c r="P27" s="67">
        <f t="shared" si="4"/>
        <v>0.014399999999999998</v>
      </c>
      <c r="Q27" s="67">
        <f t="shared" si="5"/>
        <v>0</v>
      </c>
    </row>
    <row r="28" spans="1:17" ht="12.75">
      <c r="A28" s="52"/>
      <c r="B28" s="78" t="s">
        <v>95</v>
      </c>
      <c r="C28" s="95">
        <f>IF(conn="No connection",0.5*$G$17*$K16*$Q16^2/L16^2,0.5*$G$17*$K18*$Q18^2/L18^2)</f>
        <v>0</v>
      </c>
      <c r="D28" s="95">
        <f>IF(conn="No connection",0.5*$G$17*$K17*$Q17^2/L17^2,0.5*$G$17*$K19*$Q19^2/L19^2)</f>
        <v>0</v>
      </c>
      <c r="E28" s="52" t="s">
        <v>17</v>
      </c>
      <c r="F28" s="98">
        <f t="shared" si="14"/>
        <v>0</v>
      </c>
      <c r="G28" s="95" t="s">
        <v>17</v>
      </c>
      <c r="H28" s="93">
        <f>Q12</f>
        <v>0</v>
      </c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12.75">
      <c r="A29" s="52"/>
      <c r="B29" s="78" t="s">
        <v>92</v>
      </c>
      <c r="C29" s="95">
        <f>IF(conn="No connection",0.5*$G$17*$K12*$Q12^2/L12^2,0.5*$G$17*$K14*$Q14^2/L14^2)</f>
        <v>0</v>
      </c>
      <c r="D29" s="95">
        <f>IF(conn="No connection",0.5*$G$17*$K13*$Q13^2/L13^2,0.5*$G$17*$K15*$Q15^2/L15^2)</f>
        <v>0</v>
      </c>
      <c r="E29" s="52" t="s">
        <v>17</v>
      </c>
      <c r="F29" s="98">
        <f t="shared" si="14"/>
        <v>0</v>
      </c>
      <c r="G29" s="95" t="s">
        <v>17</v>
      </c>
      <c r="H29" s="93">
        <f>Q12</f>
        <v>0</v>
      </c>
      <c r="I29" s="52"/>
      <c r="J29" s="52"/>
      <c r="K29" s="63"/>
      <c r="L29" s="63"/>
      <c r="M29" s="63"/>
      <c r="N29" s="63"/>
      <c r="O29" s="52"/>
      <c r="P29" s="52"/>
      <c r="Q29" s="52"/>
    </row>
    <row r="30" spans="1:17" ht="12.75">
      <c r="A30" s="52"/>
      <c r="B30" s="78" t="s">
        <v>94</v>
      </c>
      <c r="C30" s="95">
        <f>IF(conn="No connection",0.5*$G$17*$K24*$Q24^2/L24^2,0.5*$G$17*$K26*$Q26^2/L26^2)</f>
        <v>0</v>
      </c>
      <c r="D30" s="95">
        <f>IF(conn="No connection",0.5*$G$17*$K25*$Q25^2/L25^2,0.5*$G$17*$K27*$Q27^2/L27^2)</f>
        <v>0</v>
      </c>
      <c r="E30" s="52" t="s">
        <v>17</v>
      </c>
      <c r="F30" s="98">
        <f t="shared" si="14"/>
        <v>0</v>
      </c>
      <c r="G30" s="95" t="s">
        <v>17</v>
      </c>
      <c r="H30" s="93">
        <f>Q20</f>
        <v>0</v>
      </c>
      <c r="I30" s="52"/>
      <c r="J30" s="52"/>
      <c r="K30" s="63"/>
      <c r="L30" s="82"/>
      <c r="M30" s="82"/>
      <c r="N30" s="82"/>
      <c r="O30" s="52"/>
      <c r="P30" s="52"/>
      <c r="Q30" s="52"/>
    </row>
    <row r="31" spans="1:17" ht="13.5" thickBot="1">
      <c r="A31" s="52"/>
      <c r="B31" s="78" t="s">
        <v>93</v>
      </c>
      <c r="C31" s="95">
        <f>IF(conn="No connection",0.5*$G$17*$K20*$Q20^2/L20^2,0.5*$G$17*$K22*$Q22^2/L22^2)</f>
        <v>0</v>
      </c>
      <c r="D31" s="95">
        <f>IF(conn="No connection",0.5*$G$17*$K21*$Q21^2/L21^2,0.5*$G$17*$K23*$Q23^2/L23^2)</f>
        <v>0</v>
      </c>
      <c r="E31" s="52" t="s">
        <v>17</v>
      </c>
      <c r="F31" s="99">
        <f t="shared" si="14"/>
        <v>0</v>
      </c>
      <c r="G31" s="95" t="s">
        <v>17</v>
      </c>
      <c r="H31" s="93">
        <f>Q20</f>
        <v>0</v>
      </c>
      <c r="I31" s="52"/>
      <c r="J31" s="52"/>
      <c r="K31" s="63"/>
      <c r="L31" s="82"/>
      <c r="M31" s="82"/>
      <c r="N31" s="82"/>
      <c r="O31" s="52"/>
      <c r="P31" s="52"/>
      <c r="Q31" s="52"/>
    </row>
    <row r="32" spans="1:17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63"/>
      <c r="L32" s="82"/>
      <c r="M32" s="82"/>
      <c r="N32" s="82"/>
      <c r="O32" s="52"/>
      <c r="P32" s="52"/>
      <c r="Q32" s="52"/>
    </row>
    <row r="33" spans="1:17" ht="12.75">
      <c r="A33" s="52" t="s">
        <v>55</v>
      </c>
      <c r="B33" s="52"/>
      <c r="C33" s="52"/>
      <c r="D33" s="52"/>
      <c r="E33" s="52"/>
      <c r="F33" s="52"/>
      <c r="G33" s="52"/>
      <c r="H33" s="52"/>
      <c r="I33" s="52"/>
      <c r="J33" s="52"/>
      <c r="K33" s="63"/>
      <c r="L33" s="82"/>
      <c r="M33" s="82"/>
      <c r="N33" s="82"/>
      <c r="O33" s="52"/>
      <c r="P33" s="52"/>
      <c r="Q33" s="52"/>
    </row>
    <row r="34" spans="1:17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63"/>
      <c r="L34" s="82"/>
      <c r="M34" s="82"/>
      <c r="N34" s="82"/>
      <c r="O34" s="52"/>
      <c r="P34" s="52"/>
      <c r="Q34" s="52"/>
    </row>
    <row r="35" spans="1:17" ht="12.75">
      <c r="A35" s="52" t="s">
        <v>56</v>
      </c>
      <c r="B35" s="52"/>
      <c r="C35" s="52"/>
      <c r="D35" s="52"/>
      <c r="E35" s="52"/>
      <c r="F35" s="52"/>
      <c r="G35" s="52"/>
      <c r="H35" s="52"/>
      <c r="I35" s="52"/>
      <c r="J35" s="52"/>
      <c r="K35" s="63"/>
      <c r="L35" s="82"/>
      <c r="M35" s="82"/>
      <c r="N35" s="82"/>
      <c r="O35" s="52"/>
      <c r="P35" s="52"/>
      <c r="Q35" s="52"/>
    </row>
    <row r="36" spans="1:17" ht="12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63"/>
      <c r="L36" s="82"/>
      <c r="M36" s="82"/>
      <c r="N36" s="82"/>
      <c r="O36" s="52"/>
      <c r="P36" s="52"/>
      <c r="Q36" s="52"/>
    </row>
    <row r="37" spans="1:17" ht="12.75">
      <c r="A37" s="52"/>
      <c r="B37" s="84" t="s">
        <v>57</v>
      </c>
      <c r="C37" s="84" t="s">
        <v>58</v>
      </c>
      <c r="D37" s="52"/>
      <c r="E37" s="84" t="s">
        <v>57</v>
      </c>
      <c r="F37" s="84" t="s">
        <v>58</v>
      </c>
      <c r="G37" s="52"/>
      <c r="H37" s="84" t="s">
        <v>57</v>
      </c>
      <c r="I37" s="84" t="s">
        <v>58</v>
      </c>
      <c r="J37" s="52"/>
      <c r="K37" s="63"/>
      <c r="L37" s="82"/>
      <c r="M37" s="82"/>
      <c r="N37" s="82"/>
      <c r="O37" s="52"/>
      <c r="P37" s="52"/>
      <c r="Q37" s="52"/>
    </row>
    <row r="38" spans="1:17" ht="12.75">
      <c r="A38" s="84" t="s">
        <v>47</v>
      </c>
      <c r="B38" s="65">
        <v>0.435</v>
      </c>
      <c r="C38" s="65">
        <v>0.38</v>
      </c>
      <c r="D38" s="84" t="s">
        <v>51</v>
      </c>
      <c r="E38" s="65">
        <v>0.308</v>
      </c>
      <c r="F38" s="65">
        <v>0.25</v>
      </c>
      <c r="G38" s="84" t="s">
        <v>53</v>
      </c>
      <c r="H38" s="85">
        <v>0.277</v>
      </c>
      <c r="I38" s="65">
        <v>0.22</v>
      </c>
      <c r="J38" s="52"/>
      <c r="K38" s="63"/>
      <c r="L38" s="82"/>
      <c r="M38" s="82"/>
      <c r="N38" s="82"/>
      <c r="O38" s="52"/>
      <c r="P38" s="52"/>
      <c r="Q38" s="52"/>
    </row>
    <row r="39" spans="1:17" ht="12.75">
      <c r="A39" s="84" t="s">
        <v>48</v>
      </c>
      <c r="B39" s="65">
        <v>0.47</v>
      </c>
      <c r="C39" s="65">
        <v>0.46</v>
      </c>
      <c r="D39" s="84" t="s">
        <v>52</v>
      </c>
      <c r="E39" s="65">
        <v>0.26</v>
      </c>
      <c r="F39" s="65">
        <v>0.25</v>
      </c>
      <c r="G39" s="84" t="s">
        <v>54</v>
      </c>
      <c r="H39" s="85">
        <v>0.25</v>
      </c>
      <c r="I39" s="65">
        <v>0.22</v>
      </c>
      <c r="J39" s="52"/>
      <c r="K39" s="63"/>
      <c r="L39" s="82"/>
      <c r="M39" s="82"/>
      <c r="N39" s="82"/>
      <c r="O39" s="52"/>
      <c r="P39" s="52"/>
      <c r="Q39" s="52"/>
    </row>
    <row r="40" spans="1:14" ht="12.75">
      <c r="A40" s="15"/>
      <c r="C40" s="15"/>
      <c r="D40" s="14"/>
      <c r="E40" s="15"/>
      <c r="H40" s="15"/>
      <c r="I40" s="15"/>
      <c r="K40" s="14"/>
      <c r="L40" s="16"/>
      <c r="M40" s="16"/>
      <c r="N40" s="16"/>
    </row>
    <row r="41" spans="1:14" ht="12.75">
      <c r="A41" s="17"/>
      <c r="C41" s="15"/>
      <c r="E41" s="15"/>
      <c r="G41" s="15"/>
      <c r="H41" s="15"/>
      <c r="I41" s="15"/>
      <c r="K41" s="14"/>
      <c r="L41" s="16"/>
      <c r="M41" s="16"/>
      <c r="N41" s="16"/>
    </row>
    <row r="42" spans="1:14" ht="12.75">
      <c r="A42" s="17"/>
      <c r="C42" s="15"/>
      <c r="E42" s="15"/>
      <c r="G42" s="15"/>
      <c r="H42" s="15"/>
      <c r="I42" s="15"/>
      <c r="K42" s="14"/>
      <c r="L42" s="16"/>
      <c r="M42" s="16"/>
      <c r="N42" s="16"/>
    </row>
    <row r="43" spans="1:14" ht="12.75">
      <c r="A43" s="15"/>
      <c r="C43" s="15"/>
      <c r="E43" s="15"/>
      <c r="G43" s="15"/>
      <c r="H43" s="15"/>
      <c r="I43" s="15"/>
      <c r="K43" s="14"/>
      <c r="L43" s="16"/>
      <c r="M43" s="16"/>
      <c r="N43" s="16"/>
    </row>
    <row r="44" spans="1:14" ht="12.75">
      <c r="A44" s="17"/>
      <c r="B44" s="15"/>
      <c r="C44" s="15"/>
      <c r="E44" s="15"/>
      <c r="G44" s="15"/>
      <c r="H44" s="15"/>
      <c r="I44" s="15"/>
      <c r="K44" s="14"/>
      <c r="L44" s="16"/>
      <c r="M44" s="16"/>
      <c r="N44" s="16"/>
    </row>
    <row r="45" spans="1:14" ht="12.75">
      <c r="A45" s="15"/>
      <c r="B45" s="15"/>
      <c r="C45" s="15"/>
      <c r="D45" s="15"/>
      <c r="E45" s="15"/>
      <c r="G45" s="15"/>
      <c r="H45" s="15"/>
      <c r="I45" s="15"/>
      <c r="K45" s="14"/>
      <c r="L45" s="16"/>
      <c r="M45" s="16"/>
      <c r="N45" s="16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K46" s="14"/>
      <c r="L46" s="16"/>
      <c r="M46" s="16"/>
      <c r="N46" s="16"/>
    </row>
    <row r="47" spans="1:14" ht="12.75">
      <c r="A47" s="17"/>
      <c r="B47" s="15"/>
      <c r="C47" s="15"/>
      <c r="D47" s="15"/>
      <c r="E47" s="15"/>
      <c r="F47" s="15"/>
      <c r="G47" s="15"/>
      <c r="H47" s="15"/>
      <c r="I47" s="15"/>
      <c r="K47" s="14"/>
      <c r="L47" s="16"/>
      <c r="M47" s="16"/>
      <c r="N47" s="16"/>
    </row>
    <row r="48" spans="1:14" ht="12.75">
      <c r="A48" s="17"/>
      <c r="B48" s="15"/>
      <c r="C48" s="15"/>
      <c r="D48" s="15"/>
      <c r="E48" s="15"/>
      <c r="F48" s="15"/>
      <c r="G48" s="15"/>
      <c r="H48" s="15"/>
      <c r="I48" s="15"/>
      <c r="K48" s="14"/>
      <c r="L48" s="16"/>
      <c r="M48" s="16"/>
      <c r="N48" s="16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K49" s="14"/>
      <c r="L49" s="16"/>
      <c r="M49" s="16"/>
      <c r="N49" s="16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K50" s="14"/>
      <c r="L50" s="16"/>
      <c r="M50" s="16"/>
      <c r="N50" s="16"/>
    </row>
    <row r="51" spans="1:14" ht="12.75">
      <c r="A51" s="17"/>
      <c r="B51" s="15"/>
      <c r="C51" s="15"/>
      <c r="D51" s="15"/>
      <c r="E51" s="15"/>
      <c r="F51" s="15"/>
      <c r="G51" s="15"/>
      <c r="H51" s="15"/>
      <c r="I51" s="15"/>
      <c r="K51" s="14"/>
      <c r="L51" s="16"/>
      <c r="M51" s="16"/>
      <c r="N51" s="16"/>
    </row>
    <row r="52" spans="1:14" ht="12.75">
      <c r="A52" s="17"/>
      <c r="B52" s="15"/>
      <c r="C52" s="15"/>
      <c r="D52" s="15"/>
      <c r="E52" s="15"/>
      <c r="F52" s="15"/>
      <c r="G52" s="15"/>
      <c r="H52" s="15"/>
      <c r="I52" s="15"/>
      <c r="K52" s="14"/>
      <c r="L52" s="16"/>
      <c r="M52" s="16"/>
      <c r="N52" s="16"/>
    </row>
    <row r="53" spans="3:14" ht="12.75">
      <c r="C53" s="15"/>
      <c r="D53" s="15"/>
      <c r="E53" s="15"/>
      <c r="F53" s="15"/>
      <c r="G53" s="15"/>
      <c r="H53" s="15"/>
      <c r="I53" s="15"/>
      <c r="K53" s="14"/>
      <c r="L53" s="16"/>
      <c r="M53" s="16"/>
      <c r="N53" s="16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7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7"/>
      <c r="B56" s="15"/>
      <c r="C56" s="15"/>
      <c r="D56" s="15"/>
      <c r="E56" s="15"/>
      <c r="F56" s="15"/>
      <c r="G56" s="15"/>
      <c r="H56" s="15"/>
      <c r="I56" s="15"/>
    </row>
    <row r="57" spans="2:9" ht="12.75">
      <c r="B57" s="15"/>
      <c r="C57" s="15"/>
      <c r="D57" s="15"/>
      <c r="E57" s="15"/>
      <c r="F57" s="15"/>
      <c r="G57" s="15"/>
      <c r="H57" s="15"/>
      <c r="I57" s="15"/>
    </row>
    <row r="58" spans="2:9" ht="12.75">
      <c r="B58" s="15"/>
      <c r="C58" s="15"/>
      <c r="D58" s="15"/>
      <c r="E58" s="15"/>
      <c r="F58" s="15"/>
      <c r="G58" s="15"/>
      <c r="H58" s="15"/>
      <c r="I58" s="15"/>
    </row>
    <row r="59" spans="1:9" ht="12.75">
      <c r="A59" s="18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8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8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8"/>
      <c r="B62" s="15"/>
      <c r="C62" s="15"/>
      <c r="D62" s="15"/>
      <c r="E62" s="15"/>
      <c r="F62" s="15"/>
      <c r="G62" s="15"/>
      <c r="H62" s="15"/>
      <c r="I62" s="15"/>
    </row>
    <row r="63" spans="2:9" ht="12.75">
      <c r="B63" s="15"/>
      <c r="C63" s="15"/>
      <c r="D63" s="15"/>
      <c r="E63" s="15"/>
      <c r="F63" s="15"/>
      <c r="G63" s="15"/>
      <c r="H63" s="15"/>
      <c r="I63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Colt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ukpco</dc:creator>
  <cp:keywords/>
  <dc:description/>
  <cp:lastModifiedBy>Andy Clinch</cp:lastModifiedBy>
  <cp:lastPrinted>2003-08-05T11:11:45Z</cp:lastPrinted>
  <dcterms:created xsi:type="dcterms:W3CDTF">2003-03-14T15:18:25Z</dcterms:created>
  <dcterms:modified xsi:type="dcterms:W3CDTF">2019-03-28T14:50:04Z</dcterms:modified>
  <cp:category/>
  <cp:version/>
  <cp:contentType/>
  <cp:contentStatus/>
</cp:coreProperties>
</file>